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Øyvind\Desktop\"/>
    </mc:Choice>
  </mc:AlternateContent>
  <xr:revisionPtr revIDLastSave="0" documentId="13_ncr:1_{941C0826-A82C-4BC7-AEE4-7BBDA29DA21C}" xr6:coauthVersionLast="47" xr6:coauthVersionMax="47" xr10:uidLastSave="{00000000-0000-0000-0000-000000000000}"/>
  <bookViews>
    <workbookView xWindow="-90" yWindow="-90" windowWidth="19380" windowHeight="10980" tabRatio="500" activeTab="1" xr2:uid="{00000000-000D-0000-FFFF-FFFF00000000}"/>
  </bookViews>
  <sheets>
    <sheet name="Statisk plan" sheetId="1" r:id="rId1"/>
    <sheet name="Dynamisk plan" sheetId="2" r:id="rId2"/>
    <sheet name="Diagram 2" sheetId="3" r:id="rId3"/>
    <sheet name="Diagram 3" sheetId="4" r:id="rId4"/>
    <sheet name="Diagram 4" sheetId="5" r:id="rId5"/>
    <sheet name="Om" sheetId="6" r:id="rId6"/>
  </sheets>
  <definedNames>
    <definedName name="t2kAnnenGjeld">'Dynamisk plan'!$AU$55</definedName>
    <definedName name="t2kAvd1">'Dynamisk plan'!$AU$39</definedName>
    <definedName name="t2kDfJTnb">'Dynamisk plan'!$AU$95</definedName>
    <definedName name="t2kDfNTnb">'Dynamisk plan'!$AU$93</definedName>
    <definedName name="t2kERed">'Dynamisk plan'!$AU$47</definedName>
    <definedName name="t2kFGj">'Dynamisk plan'!$AU$53</definedName>
    <definedName name="t2kFradragPst">'Dynamisk plan'!$AU$71</definedName>
    <definedName name="t2kGjeldsgrad">'Dynamisk plan'!$AU$61</definedName>
    <definedName name="t2kIFaktor">'Dynamisk plan'!$AU$81</definedName>
    <definedName name="t2kInntekt">'Dynamisk plan'!$AU$57</definedName>
    <definedName name="t2kIPM">'Dynamisk plan'!$AU$79</definedName>
    <definedName name="t2kKap">'Dynamisk plan'!$AU$49</definedName>
    <definedName name="t2kKost1EtterEvtFradrag">'Dynamisk plan'!$AU$73</definedName>
    <definedName name="t2kKost1Kpi">'Dynamisk plan'!$AU$83</definedName>
    <definedName name="t2kKost2EtterEvtFradrag">'Dynamisk plan'!$AU$75</definedName>
    <definedName name="t2kKost2Kpi">'Dynamisk plan'!$AU$85</definedName>
    <definedName name="t2kKPI">'Dynamisk plan'!$AU$77</definedName>
    <definedName name="t2kKS1">'Dynamisk plan'!$AU$91</definedName>
    <definedName name="t2kMnd">'Dynamisk plan'!$AU$19</definedName>
    <definedName name="t2kNTid">'Dynamisk plan'!$AU$25</definedName>
    <definedName name="t2kR1">'Dynamisk plan'!$AU$37</definedName>
    <definedName name="t2kR2">'Dynamisk plan'!$AU$67</definedName>
    <definedName name="t2kRadnrGjeldsgradTreff">'Dynamisk plan'!$AU$59</definedName>
    <definedName name="t2kRP">'Dynamisk plan'!$AU$23</definedName>
    <definedName name="t2kS1">'Dynamisk plan'!$AU$41</definedName>
    <definedName name="t2kS2">'Dynamisk plan'!$AU$69</definedName>
    <definedName name="t2kSAkk">'Dynamisk plan'!$AU$45</definedName>
    <definedName name="t2kSPM">'Dynamisk plan'!$AU$43</definedName>
    <definedName name="t2kTakst">'Dynamisk plan'!$AU$51</definedName>
    <definedName name="t2kTB1">'Dynamisk plan'!$AU$35</definedName>
    <definedName name="t2kTB2">'Dynamisk plan'!$AU$65</definedName>
    <definedName name="t2kTG">'Dynamisk plan'!$AU$29</definedName>
    <definedName name="t2kTG1">'Dynamisk plan'!$AU$87</definedName>
    <definedName name="t2kTG2">'Dynamisk plan'!$AU$89</definedName>
    <definedName name="t2kTI1">'Dynamisk plan'!$AU$33</definedName>
    <definedName name="t2kTI2">'Dynamisk plan'!$AU$63</definedName>
    <definedName name="t2kTnb">'Dynamisk plan'!$AU$21</definedName>
    <definedName name="t2kTNr">'Dynamisk plan'!$AU$31</definedName>
    <definedName name="t2kUAvd">'Dynamisk plan'!$AU$27</definedName>
    <definedName name="t2rDenneManed">'Dynamisk plan'!$AT$63</definedName>
    <definedName name="t2rGjeldsgradTreff">'Dynamisk plan'!$AT$67</definedName>
    <definedName name="t2rTLn1">'Dynamisk plan'!$AT$19</definedName>
    <definedName name="t2rTLnN">'Dynamisk plan'!$AT$21</definedName>
    <definedName name="t2vAntTAr1">'Dynamisk plan'!$AT$31</definedName>
    <definedName name="t2vAntTArN">'Dynamisk plan'!$AT$33</definedName>
    <definedName name="t2vArN">'Dynamisk plan'!$AT$29</definedName>
    <definedName name="t2vArTLn1">'Dynamisk plan'!$AT$35</definedName>
    <definedName name="t2vArTLnN">'Dynamisk plan'!$AT$37</definedName>
    <definedName name="t2vArYTLn1">'Dynamisk plan'!$AT$39</definedName>
    <definedName name="t2vArYTLnN">'Dynamisk plan'!$AT$41</definedName>
    <definedName name="t2vDmErITbl">'Dynamisk plan'!$AT$53</definedName>
    <definedName name="t2vDmErPostTabell">'Dynamisk plan'!$AT$51</definedName>
    <definedName name="t2vDmErPreTabell">'Dynamisk plan'!$AT$49</definedName>
    <definedName name="t2vDtAr">'Dynamisk plan'!$AT$57</definedName>
    <definedName name="t2vDtMnd">'Dynamisk plan'!$AT$55</definedName>
    <definedName name="t2vHarDmGjeldsgradtallITabellenLavereEllerLikMalet">'Dynamisk plan'!$AT$65</definedName>
    <definedName name="t2vJan1Ar">'Dynamisk plan'!$AT$61</definedName>
    <definedName name="t2vJan1Ln">'Dynamisk plan'!$AT$59</definedName>
    <definedName name="t2vStdRTNr">'Dynamisk plan'!$AT$47</definedName>
    <definedName name="t2vTNkl1">'Dynamisk plan'!$AT$25</definedName>
    <definedName name="t2vTNklN">'Dynamisk plan'!$AT$27</definedName>
    <definedName name="t2xAntAr">'Dynamisk plan'!$AT$23</definedName>
    <definedName name="t2xStdRAntMnd">'Dynamisk plan'!$AT$45</definedName>
    <definedName name="t2xStdRPst">'Dynamisk plan'!$AT$43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B14" i="1" l="1"/>
  <c r="AU95" i="2"/>
  <c r="AU93" i="2"/>
  <c r="AU91" i="2"/>
  <c r="AU89" i="2"/>
  <c r="AU87" i="2"/>
  <c r="AU85" i="2"/>
  <c r="AU83" i="2"/>
  <c r="AU81" i="2"/>
  <c r="AU79" i="2"/>
  <c r="AU77" i="2"/>
  <c r="AU75" i="2"/>
  <c r="AU73" i="2"/>
  <c r="AU71" i="2"/>
  <c r="AU69" i="2"/>
  <c r="AU67" i="2"/>
  <c r="AU65" i="2"/>
  <c r="AU63" i="2"/>
  <c r="AU61" i="2"/>
  <c r="AT60" i="2"/>
  <c r="AU59" i="2"/>
  <c r="AT58" i="2"/>
  <c r="AU57" i="2"/>
  <c r="AT56" i="2"/>
  <c r="AU55" i="2"/>
  <c r="AT54" i="2"/>
  <c r="AU53" i="2"/>
  <c r="AT52" i="2"/>
  <c r="AU51" i="2"/>
  <c r="AU49" i="2"/>
  <c r="AU47" i="2"/>
  <c r="AT46" i="2"/>
  <c r="AU45" i="2"/>
  <c r="AT44" i="2"/>
  <c r="AU43" i="2"/>
  <c r="AT42" i="2"/>
  <c r="AU41" i="2"/>
  <c r="AU39" i="2"/>
  <c r="AU37" i="2"/>
  <c r="AU35" i="2"/>
  <c r="AM16" i="2" s="1"/>
  <c r="AU33" i="2"/>
  <c r="AP16" i="2" s="1"/>
  <c r="AT32" i="2"/>
  <c r="AU31" i="2"/>
  <c r="AT30" i="2"/>
  <c r="AU29" i="2"/>
  <c r="AT28" i="2"/>
  <c r="AU27" i="2"/>
  <c r="AT26" i="2"/>
  <c r="AU25" i="2"/>
  <c r="AT24" i="2"/>
  <c r="AU23" i="2"/>
  <c r="AT22" i="2"/>
  <c r="AU21" i="2"/>
  <c r="AQ16" i="2" s="1"/>
  <c r="AT20" i="2"/>
  <c r="AU19" i="2"/>
  <c r="AT19" i="2"/>
  <c r="AA19" i="2"/>
  <c r="AA20" i="2" s="1"/>
  <c r="AA21" i="2" s="1"/>
  <c r="AA22" i="2" s="1"/>
  <c r="AA23" i="2" s="1"/>
  <c r="AA24" i="2" s="1"/>
  <c r="AA25" i="2" s="1"/>
  <c r="AA26" i="2" s="1"/>
  <c r="AA27" i="2" s="1"/>
  <c r="AA28" i="2" s="1"/>
  <c r="AA29" i="2" s="1"/>
  <c r="AA30" i="2" s="1"/>
  <c r="AA31" i="2" s="1"/>
  <c r="AA32" i="2" s="1"/>
  <c r="AA33" i="2" s="1"/>
  <c r="AA34" i="2" s="1"/>
  <c r="AA35" i="2" s="1"/>
  <c r="AA36" i="2" s="1"/>
  <c r="AA37" i="2" s="1"/>
  <c r="AA38" i="2" s="1"/>
  <c r="AA39" i="2" s="1"/>
  <c r="AA40" i="2" s="1"/>
  <c r="AA41" i="2" s="1"/>
  <c r="AA42" i="2" s="1"/>
  <c r="AA43" i="2" s="1"/>
  <c r="AA44" i="2" s="1"/>
  <c r="AA45" i="2" s="1"/>
  <c r="AA46" i="2" s="1"/>
  <c r="AA47" i="2" s="1"/>
  <c r="AA48" i="2" s="1"/>
  <c r="AA49" i="2" s="1"/>
  <c r="AA50" i="2" s="1"/>
  <c r="AA51" i="2" s="1"/>
  <c r="AA52" i="2" s="1"/>
  <c r="AA53" i="2" s="1"/>
  <c r="AA54" i="2" s="1"/>
  <c r="AA55" i="2" s="1"/>
  <c r="AA56" i="2" s="1"/>
  <c r="AA57" i="2" s="1"/>
  <c r="AA58" i="2" s="1"/>
  <c r="AA59" i="2" s="1"/>
  <c r="AA60" i="2" s="1"/>
  <c r="AA61" i="2" s="1"/>
  <c r="AA62" i="2" s="1"/>
  <c r="AA63" i="2" s="1"/>
  <c r="AA64" i="2" s="1"/>
  <c r="AA65" i="2" s="1"/>
  <c r="AA66" i="2" s="1"/>
  <c r="AA67" i="2" s="1"/>
  <c r="AA68" i="2" s="1"/>
  <c r="AA69" i="2" s="1"/>
  <c r="AA70" i="2" s="1"/>
  <c r="AA71" i="2" s="1"/>
  <c r="AA72" i="2" s="1"/>
  <c r="AA73" i="2" s="1"/>
  <c r="AA74" i="2" s="1"/>
  <c r="AA75" i="2" s="1"/>
  <c r="AA76" i="2" s="1"/>
  <c r="AA77" i="2" s="1"/>
  <c r="AA78" i="2" s="1"/>
  <c r="AA79" i="2" s="1"/>
  <c r="AA80" i="2" s="1"/>
  <c r="AA81" i="2" s="1"/>
  <c r="AA82" i="2" s="1"/>
  <c r="AA83" i="2" s="1"/>
  <c r="AA84" i="2" s="1"/>
  <c r="AA85" i="2" s="1"/>
  <c r="AA86" i="2" s="1"/>
  <c r="AA87" i="2" s="1"/>
  <c r="AA88" i="2" s="1"/>
  <c r="AA89" i="2" s="1"/>
  <c r="AA90" i="2" s="1"/>
  <c r="AA91" i="2" s="1"/>
  <c r="AA92" i="2" s="1"/>
  <c r="AA93" i="2" s="1"/>
  <c r="AA94" i="2" s="1"/>
  <c r="AA95" i="2" s="1"/>
  <c r="AA96" i="2" s="1"/>
  <c r="AA97" i="2" s="1"/>
  <c r="AA98" i="2" s="1"/>
  <c r="AA99" i="2" s="1"/>
  <c r="AA100" i="2" s="1"/>
  <c r="AA101" i="2" s="1"/>
  <c r="AA102" i="2" s="1"/>
  <c r="AA103" i="2" s="1"/>
  <c r="AA104" i="2" s="1"/>
  <c r="AA105" i="2" s="1"/>
  <c r="AA106" i="2" s="1"/>
  <c r="AA107" i="2" s="1"/>
  <c r="AA108" i="2" s="1"/>
  <c r="AA109" i="2" s="1"/>
  <c r="AA110" i="2" s="1"/>
  <c r="AA111" i="2" s="1"/>
  <c r="AA112" i="2" s="1"/>
  <c r="AA113" i="2" s="1"/>
  <c r="AA114" i="2" s="1"/>
  <c r="AA115" i="2" s="1"/>
  <c r="AA116" i="2" s="1"/>
  <c r="AA117" i="2" s="1"/>
  <c r="AA118" i="2" s="1"/>
  <c r="AA119" i="2" s="1"/>
  <c r="AA120" i="2" s="1"/>
  <c r="AA121" i="2" s="1"/>
  <c r="AA122" i="2" s="1"/>
  <c r="AA123" i="2" s="1"/>
  <c r="AA124" i="2" s="1"/>
  <c r="AA125" i="2" s="1"/>
  <c r="AA126" i="2" s="1"/>
  <c r="AA127" i="2" s="1"/>
  <c r="AA128" i="2" s="1"/>
  <c r="AA129" i="2" s="1"/>
  <c r="AA130" i="2" s="1"/>
  <c r="AA131" i="2" s="1"/>
  <c r="AA132" i="2" s="1"/>
  <c r="AA133" i="2" s="1"/>
  <c r="AA134" i="2" s="1"/>
  <c r="AA135" i="2" s="1"/>
  <c r="AA136" i="2" s="1"/>
  <c r="AA137" i="2" s="1"/>
  <c r="AA138" i="2" s="1"/>
  <c r="AA139" i="2" s="1"/>
  <c r="AA140" i="2" s="1"/>
  <c r="AA141" i="2" s="1"/>
  <c r="AA142" i="2" s="1"/>
  <c r="AA143" i="2" s="1"/>
  <c r="AA144" i="2" s="1"/>
  <c r="AA145" i="2" s="1"/>
  <c r="AA146" i="2" s="1"/>
  <c r="AA147" i="2" s="1"/>
  <c r="AA148" i="2" s="1"/>
  <c r="AA149" i="2" s="1"/>
  <c r="AA150" i="2" s="1"/>
  <c r="AA151" i="2" s="1"/>
  <c r="AA152" i="2" s="1"/>
  <c r="AA153" i="2" s="1"/>
  <c r="AA154" i="2" s="1"/>
  <c r="AA155" i="2" s="1"/>
  <c r="AA156" i="2" s="1"/>
  <c r="AA157" i="2" s="1"/>
  <c r="AA158" i="2" s="1"/>
  <c r="AA159" i="2" s="1"/>
  <c r="AA160" i="2" s="1"/>
  <c r="AA161" i="2" s="1"/>
  <c r="AA162" i="2" s="1"/>
  <c r="AA163" i="2" s="1"/>
  <c r="AA164" i="2" s="1"/>
  <c r="AA165" i="2" s="1"/>
  <c r="AA166" i="2" s="1"/>
  <c r="AA167" i="2" s="1"/>
  <c r="AA168" i="2" s="1"/>
  <c r="AA169" i="2" s="1"/>
  <c r="AA170" i="2" s="1"/>
  <c r="AA171" i="2" s="1"/>
  <c r="AA172" i="2" s="1"/>
  <c r="AA173" i="2" s="1"/>
  <c r="AA174" i="2" s="1"/>
  <c r="AA175" i="2" s="1"/>
  <c r="AA176" i="2" s="1"/>
  <c r="AA177" i="2" s="1"/>
  <c r="AA178" i="2" s="1"/>
  <c r="AA179" i="2" s="1"/>
  <c r="AA180" i="2" s="1"/>
  <c r="AA181" i="2" s="1"/>
  <c r="AA182" i="2" s="1"/>
  <c r="AA183" i="2" s="1"/>
  <c r="AA184" i="2" s="1"/>
  <c r="AA185" i="2" s="1"/>
  <c r="AA186" i="2" s="1"/>
  <c r="AA187" i="2" s="1"/>
  <c r="AA188" i="2" s="1"/>
  <c r="AA189" i="2" s="1"/>
  <c r="AA190" i="2" s="1"/>
  <c r="AA191" i="2" s="1"/>
  <c r="AA192" i="2" s="1"/>
  <c r="AA193" i="2" s="1"/>
  <c r="AA194" i="2" s="1"/>
  <c r="AA195" i="2" s="1"/>
  <c r="AA196" i="2" s="1"/>
  <c r="AA197" i="2" s="1"/>
  <c r="AA198" i="2" s="1"/>
  <c r="AA199" i="2" s="1"/>
  <c r="AA200" i="2" s="1"/>
  <c r="AA201" i="2" s="1"/>
  <c r="AA202" i="2" s="1"/>
  <c r="AA203" i="2" s="1"/>
  <c r="AA204" i="2" s="1"/>
  <c r="AA205" i="2" s="1"/>
  <c r="AA206" i="2" s="1"/>
  <c r="AA207" i="2" s="1"/>
  <c r="AA208" i="2" s="1"/>
  <c r="AA209" i="2" s="1"/>
  <c r="AA210" i="2" s="1"/>
  <c r="AA211" i="2" s="1"/>
  <c r="AA212" i="2" s="1"/>
  <c r="AA213" i="2" s="1"/>
  <c r="AA214" i="2" s="1"/>
  <c r="AA215" i="2" s="1"/>
  <c r="AA216" i="2" s="1"/>
  <c r="AA217" i="2" s="1"/>
  <c r="AA218" i="2" s="1"/>
  <c r="AA219" i="2" s="1"/>
  <c r="AA220" i="2" s="1"/>
  <c r="AA221" i="2" s="1"/>
  <c r="AA222" i="2" s="1"/>
  <c r="AA223" i="2" s="1"/>
  <c r="AA224" i="2" s="1"/>
  <c r="AA225" i="2" s="1"/>
  <c r="AA226" i="2" s="1"/>
  <c r="AA227" i="2" s="1"/>
  <c r="AA228" i="2" s="1"/>
  <c r="AA229" i="2" s="1"/>
  <c r="AA230" i="2" s="1"/>
  <c r="AA231" i="2" s="1"/>
  <c r="AA232" i="2" s="1"/>
  <c r="AA233" i="2" s="1"/>
  <c r="AA234" i="2" s="1"/>
  <c r="AA235" i="2" s="1"/>
  <c r="AA236" i="2" s="1"/>
  <c r="AA237" i="2" s="1"/>
  <c r="AA238" i="2" s="1"/>
  <c r="AA239" i="2" s="1"/>
  <c r="AA240" i="2" s="1"/>
  <c r="AA241" i="2" s="1"/>
  <c r="AA242" i="2" s="1"/>
  <c r="AA243" i="2" s="1"/>
  <c r="AA244" i="2" s="1"/>
  <c r="AA245" i="2" s="1"/>
  <c r="AA246" i="2" s="1"/>
  <c r="AA247" i="2" s="1"/>
  <c r="AA248" i="2" s="1"/>
  <c r="AA249" i="2" s="1"/>
  <c r="AA250" i="2" s="1"/>
  <c r="AA251" i="2" s="1"/>
  <c r="AA252" i="2" s="1"/>
  <c r="AA253" i="2" s="1"/>
  <c r="AA254" i="2" s="1"/>
  <c r="AA255" i="2" s="1"/>
  <c r="AA256" i="2" s="1"/>
  <c r="AA257" i="2" s="1"/>
  <c r="AA258" i="2" s="1"/>
  <c r="AA259" i="2" s="1"/>
  <c r="AA260" i="2" s="1"/>
  <c r="AA261" i="2" s="1"/>
  <c r="AA262" i="2" s="1"/>
  <c r="AA263" i="2" s="1"/>
  <c r="AA264" i="2" s="1"/>
  <c r="AA265" i="2" s="1"/>
  <c r="AA266" i="2" s="1"/>
  <c r="AA267" i="2" s="1"/>
  <c r="AA268" i="2" s="1"/>
  <c r="AA269" i="2" s="1"/>
  <c r="AA270" i="2" s="1"/>
  <c r="AA271" i="2" s="1"/>
  <c r="AA272" i="2" s="1"/>
  <c r="AA273" i="2" s="1"/>
  <c r="AA274" i="2" s="1"/>
  <c r="AA275" i="2" s="1"/>
  <c r="AA276" i="2" s="1"/>
  <c r="AA277" i="2" s="1"/>
  <c r="AA278" i="2" s="1"/>
  <c r="AA279" i="2" s="1"/>
  <c r="AA280" i="2" s="1"/>
  <c r="AA281" i="2" s="1"/>
  <c r="AA282" i="2" s="1"/>
  <c r="AA283" i="2" s="1"/>
  <c r="AA284" i="2" s="1"/>
  <c r="AA285" i="2" s="1"/>
  <c r="AA286" i="2" s="1"/>
  <c r="AA287" i="2" s="1"/>
  <c r="AA288" i="2" s="1"/>
  <c r="AA289" i="2" s="1"/>
  <c r="AA290" i="2" s="1"/>
  <c r="AA291" i="2" s="1"/>
  <c r="AA292" i="2" s="1"/>
  <c r="AA293" i="2" s="1"/>
  <c r="AA294" i="2" s="1"/>
  <c r="AA295" i="2" s="1"/>
  <c r="AA296" i="2" s="1"/>
  <c r="AA297" i="2" s="1"/>
  <c r="AA298" i="2" s="1"/>
  <c r="AA299" i="2" s="1"/>
  <c r="AA300" i="2" s="1"/>
  <c r="AA301" i="2" s="1"/>
  <c r="AA302" i="2" s="1"/>
  <c r="AA303" i="2" s="1"/>
  <c r="AA304" i="2" s="1"/>
  <c r="AA305" i="2" s="1"/>
  <c r="AA306" i="2" s="1"/>
  <c r="AA307" i="2" s="1"/>
  <c r="AA308" i="2" s="1"/>
  <c r="AA309" i="2" s="1"/>
  <c r="AA310" i="2" s="1"/>
  <c r="AA311" i="2" s="1"/>
  <c r="AA312" i="2" s="1"/>
  <c r="AA313" i="2" s="1"/>
  <c r="AA314" i="2" s="1"/>
  <c r="AA315" i="2" s="1"/>
  <c r="AA316" i="2" s="1"/>
  <c r="AA317" i="2" s="1"/>
  <c r="AA318" i="2" s="1"/>
  <c r="AA319" i="2" s="1"/>
  <c r="AA320" i="2" s="1"/>
  <c r="AA321" i="2" s="1"/>
  <c r="AA322" i="2" s="1"/>
  <c r="AA323" i="2" s="1"/>
  <c r="AA324" i="2" s="1"/>
  <c r="AA325" i="2" s="1"/>
  <c r="AA326" i="2" s="1"/>
  <c r="AA327" i="2" s="1"/>
  <c r="AA328" i="2" s="1"/>
  <c r="AA329" i="2" s="1"/>
  <c r="AA330" i="2" s="1"/>
  <c r="AA331" i="2" s="1"/>
  <c r="AA332" i="2" s="1"/>
  <c r="AA333" i="2" s="1"/>
  <c r="AA334" i="2" s="1"/>
  <c r="AA335" i="2" s="1"/>
  <c r="AA336" i="2" s="1"/>
  <c r="AA337" i="2" s="1"/>
  <c r="AA338" i="2" s="1"/>
  <c r="AA339" i="2" s="1"/>
  <c r="AA340" i="2" s="1"/>
  <c r="AA341" i="2" s="1"/>
  <c r="AA342" i="2" s="1"/>
  <c r="AA343" i="2" s="1"/>
  <c r="AA344" i="2" s="1"/>
  <c r="AA345" i="2" s="1"/>
  <c r="AA346" i="2" s="1"/>
  <c r="AA347" i="2" s="1"/>
  <c r="AA348" i="2" s="1"/>
  <c r="AA349" i="2" s="1"/>
  <c r="AA350" i="2" s="1"/>
  <c r="AA351" i="2" s="1"/>
  <c r="AA352" i="2" s="1"/>
  <c r="AA353" i="2" s="1"/>
  <c r="AA354" i="2" s="1"/>
  <c r="AA355" i="2" s="1"/>
  <c r="AA356" i="2" s="1"/>
  <c r="AA357" i="2" s="1"/>
  <c r="AA358" i="2" s="1"/>
  <c r="AA359" i="2" s="1"/>
  <c r="AA360" i="2" s="1"/>
  <c r="AA361" i="2" s="1"/>
  <c r="AA362" i="2" s="1"/>
  <c r="AA363" i="2" s="1"/>
  <c r="AA364" i="2" s="1"/>
  <c r="AA365" i="2" s="1"/>
  <c r="AA366" i="2" s="1"/>
  <c r="AA367" i="2" s="1"/>
  <c r="AA368" i="2" s="1"/>
  <c r="AA369" i="2" s="1"/>
  <c r="AA370" i="2" s="1"/>
  <c r="AA371" i="2" s="1"/>
  <c r="AA372" i="2" s="1"/>
  <c r="AA373" i="2" s="1"/>
  <c r="AA374" i="2" s="1"/>
  <c r="AA375" i="2" s="1"/>
  <c r="AA376" i="2" s="1"/>
  <c r="AA377" i="2" s="1"/>
  <c r="F19" i="2"/>
  <c r="F20" i="2" s="1"/>
  <c r="F21" i="2" s="1"/>
  <c r="F22" i="2" s="1"/>
  <c r="F23" i="2" s="1"/>
  <c r="F24" i="2" s="1"/>
  <c r="F25" i="2" s="1"/>
  <c r="F26" i="2" s="1"/>
  <c r="F27" i="2" s="1"/>
  <c r="F28" i="2" s="1"/>
  <c r="F29" i="2" s="1"/>
  <c r="F30" i="2" s="1"/>
  <c r="F31" i="2" s="1"/>
  <c r="F32" i="2" s="1"/>
  <c r="F33" i="2" s="1"/>
  <c r="F34" i="2" s="1"/>
  <c r="F35" i="2" s="1"/>
  <c r="F36" i="2" s="1"/>
  <c r="F37" i="2" s="1"/>
  <c r="F38" i="2" s="1"/>
  <c r="F39" i="2" s="1"/>
  <c r="F40" i="2" s="1"/>
  <c r="F41" i="2" s="1"/>
  <c r="F42" i="2" s="1"/>
  <c r="F43" i="2" s="1"/>
  <c r="F44" i="2" s="1"/>
  <c r="F45" i="2" s="1"/>
  <c r="F46" i="2" s="1"/>
  <c r="F47" i="2" s="1"/>
  <c r="F48" i="2" s="1"/>
  <c r="F49" i="2" s="1"/>
  <c r="F50" i="2" s="1"/>
  <c r="F51" i="2" s="1"/>
  <c r="F52" i="2" s="1"/>
  <c r="F53" i="2" s="1"/>
  <c r="F54" i="2" s="1"/>
  <c r="F55" i="2" s="1"/>
  <c r="F56" i="2" s="1"/>
  <c r="F57" i="2" s="1"/>
  <c r="F58" i="2" s="1"/>
  <c r="F59" i="2" s="1"/>
  <c r="F60" i="2" s="1"/>
  <c r="F61" i="2" s="1"/>
  <c r="F62" i="2" s="1"/>
  <c r="F63" i="2" s="1"/>
  <c r="F64" i="2" s="1"/>
  <c r="F65" i="2" s="1"/>
  <c r="F66" i="2" s="1"/>
  <c r="F67" i="2" s="1"/>
  <c r="F68" i="2" s="1"/>
  <c r="F69" i="2" s="1"/>
  <c r="F70" i="2" s="1"/>
  <c r="F71" i="2" s="1"/>
  <c r="F72" i="2" s="1"/>
  <c r="F73" i="2" s="1"/>
  <c r="F74" i="2" s="1"/>
  <c r="F75" i="2" s="1"/>
  <c r="F76" i="2" s="1"/>
  <c r="F77" i="2" s="1"/>
  <c r="F78" i="2" s="1"/>
  <c r="F79" i="2" s="1"/>
  <c r="F80" i="2" s="1"/>
  <c r="F81" i="2" s="1"/>
  <c r="F82" i="2" s="1"/>
  <c r="F83" i="2" s="1"/>
  <c r="F84" i="2" s="1"/>
  <c r="F85" i="2" s="1"/>
  <c r="F86" i="2" s="1"/>
  <c r="F87" i="2" s="1"/>
  <c r="F88" i="2" s="1"/>
  <c r="F89" i="2" s="1"/>
  <c r="F90" i="2" s="1"/>
  <c r="F91" i="2" s="1"/>
  <c r="F92" i="2" s="1"/>
  <c r="F93" i="2" s="1"/>
  <c r="F94" i="2" s="1"/>
  <c r="F95" i="2" s="1"/>
  <c r="F96" i="2" s="1"/>
  <c r="F97" i="2" s="1"/>
  <c r="F98" i="2" s="1"/>
  <c r="F99" i="2" s="1"/>
  <c r="F100" i="2" s="1"/>
  <c r="F101" i="2" s="1"/>
  <c r="F102" i="2" s="1"/>
  <c r="F103" i="2" s="1"/>
  <c r="F104" i="2" s="1"/>
  <c r="F105" i="2" s="1"/>
  <c r="F106" i="2" s="1"/>
  <c r="F107" i="2" s="1"/>
  <c r="F108" i="2" s="1"/>
  <c r="F109" i="2" s="1"/>
  <c r="F110" i="2" s="1"/>
  <c r="F111" i="2" s="1"/>
  <c r="F112" i="2" s="1"/>
  <c r="F113" i="2" s="1"/>
  <c r="F114" i="2" s="1"/>
  <c r="F115" i="2" s="1"/>
  <c r="F116" i="2" s="1"/>
  <c r="F117" i="2" s="1"/>
  <c r="F118" i="2" s="1"/>
  <c r="F119" i="2" s="1"/>
  <c r="F120" i="2" s="1"/>
  <c r="F121" i="2" s="1"/>
  <c r="F122" i="2" s="1"/>
  <c r="F123" i="2" s="1"/>
  <c r="F124" i="2" s="1"/>
  <c r="F125" i="2" s="1"/>
  <c r="F126" i="2" s="1"/>
  <c r="F127" i="2" s="1"/>
  <c r="F128" i="2" s="1"/>
  <c r="F129" i="2" s="1"/>
  <c r="F130" i="2" s="1"/>
  <c r="F131" i="2" s="1"/>
  <c r="F132" i="2" s="1"/>
  <c r="F133" i="2" s="1"/>
  <c r="F134" i="2" s="1"/>
  <c r="F135" i="2" s="1"/>
  <c r="F136" i="2" s="1"/>
  <c r="F137" i="2" s="1"/>
  <c r="F138" i="2" s="1"/>
  <c r="F139" i="2" s="1"/>
  <c r="F140" i="2" s="1"/>
  <c r="F141" i="2" s="1"/>
  <c r="F142" i="2" s="1"/>
  <c r="F143" i="2" s="1"/>
  <c r="F144" i="2" s="1"/>
  <c r="F145" i="2" s="1"/>
  <c r="F146" i="2" s="1"/>
  <c r="F147" i="2" s="1"/>
  <c r="F148" i="2" s="1"/>
  <c r="F149" i="2" s="1"/>
  <c r="F150" i="2" s="1"/>
  <c r="F151" i="2" s="1"/>
  <c r="F152" i="2" s="1"/>
  <c r="F153" i="2" s="1"/>
  <c r="F154" i="2" s="1"/>
  <c r="F155" i="2" s="1"/>
  <c r="F156" i="2" s="1"/>
  <c r="F157" i="2" s="1"/>
  <c r="F158" i="2" s="1"/>
  <c r="F159" i="2" s="1"/>
  <c r="F160" i="2" s="1"/>
  <c r="F161" i="2" s="1"/>
  <c r="F162" i="2" s="1"/>
  <c r="F163" i="2" s="1"/>
  <c r="F164" i="2" s="1"/>
  <c r="F165" i="2" s="1"/>
  <c r="F166" i="2" s="1"/>
  <c r="F167" i="2" s="1"/>
  <c r="F168" i="2" s="1"/>
  <c r="F169" i="2" s="1"/>
  <c r="F170" i="2" s="1"/>
  <c r="F171" i="2" s="1"/>
  <c r="F172" i="2" s="1"/>
  <c r="F173" i="2" s="1"/>
  <c r="F174" i="2" s="1"/>
  <c r="F175" i="2" s="1"/>
  <c r="F176" i="2" s="1"/>
  <c r="F177" i="2" s="1"/>
  <c r="F178" i="2" s="1"/>
  <c r="F179" i="2" s="1"/>
  <c r="F180" i="2" s="1"/>
  <c r="F181" i="2" s="1"/>
  <c r="F182" i="2" s="1"/>
  <c r="F183" i="2" s="1"/>
  <c r="F184" i="2" s="1"/>
  <c r="F185" i="2" s="1"/>
  <c r="F186" i="2" s="1"/>
  <c r="F187" i="2" s="1"/>
  <c r="F188" i="2" s="1"/>
  <c r="F189" i="2" s="1"/>
  <c r="F190" i="2" s="1"/>
  <c r="F191" i="2" s="1"/>
  <c r="F192" i="2" s="1"/>
  <c r="F193" i="2" s="1"/>
  <c r="F194" i="2" s="1"/>
  <c r="F195" i="2" s="1"/>
  <c r="F196" i="2" s="1"/>
  <c r="F197" i="2" s="1"/>
  <c r="F198" i="2" s="1"/>
  <c r="F199" i="2" s="1"/>
  <c r="F200" i="2" s="1"/>
  <c r="F201" i="2" s="1"/>
  <c r="F202" i="2" s="1"/>
  <c r="F203" i="2" s="1"/>
  <c r="F204" i="2" s="1"/>
  <c r="F205" i="2" s="1"/>
  <c r="F206" i="2" s="1"/>
  <c r="F207" i="2" s="1"/>
  <c r="F208" i="2" s="1"/>
  <c r="F209" i="2" s="1"/>
  <c r="F210" i="2" s="1"/>
  <c r="F211" i="2" s="1"/>
  <c r="F212" i="2" s="1"/>
  <c r="F213" i="2" s="1"/>
  <c r="F214" i="2" s="1"/>
  <c r="F215" i="2" s="1"/>
  <c r="F216" i="2" s="1"/>
  <c r="F217" i="2" s="1"/>
  <c r="F218" i="2" s="1"/>
  <c r="F219" i="2" s="1"/>
  <c r="F220" i="2" s="1"/>
  <c r="F221" i="2" s="1"/>
  <c r="F222" i="2" s="1"/>
  <c r="F223" i="2" s="1"/>
  <c r="F224" i="2" s="1"/>
  <c r="F225" i="2" s="1"/>
  <c r="F226" i="2" s="1"/>
  <c r="F227" i="2" s="1"/>
  <c r="F228" i="2" s="1"/>
  <c r="F229" i="2" s="1"/>
  <c r="F230" i="2" s="1"/>
  <c r="F231" i="2" s="1"/>
  <c r="F232" i="2" s="1"/>
  <c r="F233" i="2" s="1"/>
  <c r="F234" i="2" s="1"/>
  <c r="F235" i="2" s="1"/>
  <c r="F236" i="2" s="1"/>
  <c r="F237" i="2" s="1"/>
  <c r="F238" i="2" s="1"/>
  <c r="F239" i="2" s="1"/>
  <c r="F240" i="2" s="1"/>
  <c r="F241" i="2" s="1"/>
  <c r="F242" i="2" s="1"/>
  <c r="F243" i="2" s="1"/>
  <c r="F244" i="2" s="1"/>
  <c r="F245" i="2" s="1"/>
  <c r="F246" i="2" s="1"/>
  <c r="F247" i="2" s="1"/>
  <c r="F248" i="2" s="1"/>
  <c r="F249" i="2" s="1"/>
  <c r="F250" i="2" s="1"/>
  <c r="F251" i="2" s="1"/>
  <c r="F252" i="2" s="1"/>
  <c r="F253" i="2" s="1"/>
  <c r="F254" i="2" s="1"/>
  <c r="F255" i="2" s="1"/>
  <c r="F256" i="2" s="1"/>
  <c r="F257" i="2" s="1"/>
  <c r="F258" i="2" s="1"/>
  <c r="F259" i="2" s="1"/>
  <c r="F260" i="2" s="1"/>
  <c r="F261" i="2" s="1"/>
  <c r="F262" i="2" s="1"/>
  <c r="F263" i="2" s="1"/>
  <c r="F264" i="2" s="1"/>
  <c r="F265" i="2" s="1"/>
  <c r="F266" i="2" s="1"/>
  <c r="F267" i="2" s="1"/>
  <c r="F268" i="2" s="1"/>
  <c r="F269" i="2" s="1"/>
  <c r="F270" i="2" s="1"/>
  <c r="F271" i="2" s="1"/>
  <c r="F272" i="2" s="1"/>
  <c r="F273" i="2" s="1"/>
  <c r="F274" i="2" s="1"/>
  <c r="F275" i="2" s="1"/>
  <c r="F276" i="2" s="1"/>
  <c r="F277" i="2" s="1"/>
  <c r="F278" i="2" s="1"/>
  <c r="F279" i="2" s="1"/>
  <c r="F280" i="2" s="1"/>
  <c r="F281" i="2" s="1"/>
  <c r="F282" i="2" s="1"/>
  <c r="F283" i="2" s="1"/>
  <c r="F284" i="2" s="1"/>
  <c r="F285" i="2" s="1"/>
  <c r="F286" i="2" s="1"/>
  <c r="F287" i="2" s="1"/>
  <c r="F288" i="2" s="1"/>
  <c r="F289" i="2" s="1"/>
  <c r="F290" i="2" s="1"/>
  <c r="F291" i="2" s="1"/>
  <c r="F292" i="2" s="1"/>
  <c r="F293" i="2" s="1"/>
  <c r="F294" i="2" s="1"/>
  <c r="F295" i="2" s="1"/>
  <c r="F296" i="2" s="1"/>
  <c r="F297" i="2" s="1"/>
  <c r="F298" i="2" s="1"/>
  <c r="F299" i="2" s="1"/>
  <c r="F300" i="2" s="1"/>
  <c r="F301" i="2" s="1"/>
  <c r="F302" i="2" s="1"/>
  <c r="F303" i="2" s="1"/>
  <c r="F304" i="2" s="1"/>
  <c r="F305" i="2" s="1"/>
  <c r="F306" i="2" s="1"/>
  <c r="F307" i="2" s="1"/>
  <c r="F308" i="2" s="1"/>
  <c r="F309" i="2" s="1"/>
  <c r="F310" i="2" s="1"/>
  <c r="F311" i="2" s="1"/>
  <c r="F312" i="2" s="1"/>
  <c r="F313" i="2" s="1"/>
  <c r="F314" i="2" s="1"/>
  <c r="F315" i="2" s="1"/>
  <c r="F316" i="2" s="1"/>
  <c r="F317" i="2" s="1"/>
  <c r="F318" i="2" s="1"/>
  <c r="F319" i="2" s="1"/>
  <c r="F320" i="2" s="1"/>
  <c r="F321" i="2" s="1"/>
  <c r="F322" i="2" s="1"/>
  <c r="F323" i="2" s="1"/>
  <c r="F324" i="2" s="1"/>
  <c r="F325" i="2" s="1"/>
  <c r="F326" i="2" s="1"/>
  <c r="F327" i="2" s="1"/>
  <c r="F328" i="2" s="1"/>
  <c r="F329" i="2" s="1"/>
  <c r="F330" i="2" s="1"/>
  <c r="F331" i="2" s="1"/>
  <c r="F332" i="2" s="1"/>
  <c r="F333" i="2" s="1"/>
  <c r="F334" i="2" s="1"/>
  <c r="F335" i="2" s="1"/>
  <c r="F336" i="2" s="1"/>
  <c r="F337" i="2" s="1"/>
  <c r="F338" i="2" s="1"/>
  <c r="F339" i="2" s="1"/>
  <c r="F340" i="2" s="1"/>
  <c r="F341" i="2" s="1"/>
  <c r="F342" i="2" s="1"/>
  <c r="F343" i="2" s="1"/>
  <c r="F344" i="2" s="1"/>
  <c r="F345" i="2" s="1"/>
  <c r="F346" i="2" s="1"/>
  <c r="F347" i="2" s="1"/>
  <c r="F348" i="2" s="1"/>
  <c r="F349" i="2" s="1"/>
  <c r="F350" i="2" s="1"/>
  <c r="F351" i="2" s="1"/>
  <c r="F352" i="2" s="1"/>
  <c r="F353" i="2" s="1"/>
  <c r="F354" i="2" s="1"/>
  <c r="F355" i="2" s="1"/>
  <c r="F356" i="2" s="1"/>
  <c r="F357" i="2" s="1"/>
  <c r="F358" i="2" s="1"/>
  <c r="F359" i="2" s="1"/>
  <c r="F360" i="2" s="1"/>
  <c r="F361" i="2" s="1"/>
  <c r="F362" i="2" s="1"/>
  <c r="F363" i="2" s="1"/>
  <c r="F364" i="2" s="1"/>
  <c r="F365" i="2" s="1"/>
  <c r="F366" i="2" s="1"/>
  <c r="F367" i="2" s="1"/>
  <c r="F368" i="2" s="1"/>
  <c r="F369" i="2" s="1"/>
  <c r="F370" i="2" s="1"/>
  <c r="F371" i="2" s="1"/>
  <c r="F372" i="2" s="1"/>
  <c r="F373" i="2" s="1"/>
  <c r="F374" i="2" s="1"/>
  <c r="F375" i="2" s="1"/>
  <c r="F376" i="2" s="1"/>
  <c r="F377" i="2" s="1"/>
  <c r="AT18" i="2"/>
  <c r="T18" i="2"/>
  <c r="T19" i="2" s="1"/>
  <c r="T20" i="2" s="1"/>
  <c r="T21" i="2" s="1"/>
  <c r="T22" i="2" s="1"/>
  <c r="T23" i="2" s="1"/>
  <c r="T24" i="2" s="1"/>
  <c r="T25" i="2" s="1"/>
  <c r="T26" i="2" s="1"/>
  <c r="T27" i="2" s="1"/>
  <c r="T28" i="2" s="1"/>
  <c r="T29" i="2" s="1"/>
  <c r="T30" i="2" s="1"/>
  <c r="T31" i="2" s="1"/>
  <c r="T32" i="2" s="1"/>
  <c r="T33" i="2" s="1"/>
  <c r="T34" i="2" s="1"/>
  <c r="T35" i="2" s="1"/>
  <c r="T36" i="2" s="1"/>
  <c r="T37" i="2" s="1"/>
  <c r="T38" i="2" s="1"/>
  <c r="T39" i="2" s="1"/>
  <c r="T40" i="2" s="1"/>
  <c r="T41" i="2" s="1"/>
  <c r="T42" i="2" s="1"/>
  <c r="T43" i="2" s="1"/>
  <c r="T44" i="2" s="1"/>
  <c r="T45" i="2" s="1"/>
  <c r="T46" i="2" s="1"/>
  <c r="T47" i="2" s="1"/>
  <c r="T48" i="2" s="1"/>
  <c r="T49" i="2" s="1"/>
  <c r="T50" i="2" s="1"/>
  <c r="T51" i="2" s="1"/>
  <c r="T52" i="2" s="1"/>
  <c r="T53" i="2" s="1"/>
  <c r="T54" i="2" s="1"/>
  <c r="T55" i="2" s="1"/>
  <c r="T56" i="2" s="1"/>
  <c r="T57" i="2" s="1"/>
  <c r="T58" i="2" s="1"/>
  <c r="T59" i="2" s="1"/>
  <c r="T60" i="2" s="1"/>
  <c r="T61" i="2" s="1"/>
  <c r="T62" i="2" s="1"/>
  <c r="T63" i="2" s="1"/>
  <c r="T64" i="2" s="1"/>
  <c r="T65" i="2" s="1"/>
  <c r="T66" i="2" s="1"/>
  <c r="T67" i="2" s="1"/>
  <c r="T68" i="2" s="1"/>
  <c r="T69" i="2" s="1"/>
  <c r="T70" i="2" s="1"/>
  <c r="T71" i="2" s="1"/>
  <c r="T72" i="2" s="1"/>
  <c r="T73" i="2" s="1"/>
  <c r="T74" i="2" s="1"/>
  <c r="T75" i="2" s="1"/>
  <c r="T76" i="2" s="1"/>
  <c r="T77" i="2" s="1"/>
  <c r="T78" i="2" s="1"/>
  <c r="T79" i="2" s="1"/>
  <c r="T80" i="2" s="1"/>
  <c r="T81" i="2" s="1"/>
  <c r="T82" i="2" s="1"/>
  <c r="T83" i="2" s="1"/>
  <c r="T84" i="2" s="1"/>
  <c r="T85" i="2" s="1"/>
  <c r="T86" i="2" s="1"/>
  <c r="T87" i="2" s="1"/>
  <c r="T88" i="2" s="1"/>
  <c r="T89" i="2" s="1"/>
  <c r="T90" i="2" s="1"/>
  <c r="T91" i="2" s="1"/>
  <c r="T92" i="2" s="1"/>
  <c r="T93" i="2" s="1"/>
  <c r="T94" i="2" s="1"/>
  <c r="T95" i="2" s="1"/>
  <c r="T96" i="2" s="1"/>
  <c r="T97" i="2" s="1"/>
  <c r="T98" i="2" s="1"/>
  <c r="T99" i="2" s="1"/>
  <c r="T100" i="2" s="1"/>
  <c r="T101" i="2" s="1"/>
  <c r="T102" i="2" s="1"/>
  <c r="T103" i="2" s="1"/>
  <c r="T104" i="2" s="1"/>
  <c r="T105" i="2" s="1"/>
  <c r="T106" i="2" s="1"/>
  <c r="T107" i="2" s="1"/>
  <c r="T108" i="2" s="1"/>
  <c r="T109" i="2" s="1"/>
  <c r="T110" i="2" s="1"/>
  <c r="T111" i="2" s="1"/>
  <c r="T112" i="2" s="1"/>
  <c r="T113" i="2" s="1"/>
  <c r="T114" i="2" s="1"/>
  <c r="T115" i="2" s="1"/>
  <c r="T116" i="2" s="1"/>
  <c r="T117" i="2" s="1"/>
  <c r="T118" i="2" s="1"/>
  <c r="T119" i="2" s="1"/>
  <c r="T120" i="2" s="1"/>
  <c r="T121" i="2" s="1"/>
  <c r="T122" i="2" s="1"/>
  <c r="T123" i="2" s="1"/>
  <c r="T124" i="2" s="1"/>
  <c r="T125" i="2" s="1"/>
  <c r="T126" i="2" s="1"/>
  <c r="T127" i="2" s="1"/>
  <c r="T128" i="2" s="1"/>
  <c r="T129" i="2" s="1"/>
  <c r="T130" i="2" s="1"/>
  <c r="T131" i="2" s="1"/>
  <c r="T132" i="2" s="1"/>
  <c r="T133" i="2" s="1"/>
  <c r="T134" i="2" s="1"/>
  <c r="T135" i="2" s="1"/>
  <c r="T136" i="2" s="1"/>
  <c r="T137" i="2" s="1"/>
  <c r="T138" i="2" s="1"/>
  <c r="T139" i="2" s="1"/>
  <c r="T140" i="2" s="1"/>
  <c r="T141" i="2" s="1"/>
  <c r="T142" i="2" s="1"/>
  <c r="T143" i="2" s="1"/>
  <c r="T144" i="2" s="1"/>
  <c r="T145" i="2" s="1"/>
  <c r="T146" i="2" s="1"/>
  <c r="T147" i="2" s="1"/>
  <c r="T148" i="2" s="1"/>
  <c r="T149" i="2" s="1"/>
  <c r="T150" i="2" s="1"/>
  <c r="T151" i="2" s="1"/>
  <c r="T152" i="2" s="1"/>
  <c r="T153" i="2" s="1"/>
  <c r="T154" i="2" s="1"/>
  <c r="T155" i="2" s="1"/>
  <c r="T156" i="2" s="1"/>
  <c r="T157" i="2" s="1"/>
  <c r="T158" i="2" s="1"/>
  <c r="T159" i="2" s="1"/>
  <c r="T160" i="2" s="1"/>
  <c r="T161" i="2" s="1"/>
  <c r="T162" i="2" s="1"/>
  <c r="T163" i="2" s="1"/>
  <c r="T164" i="2" s="1"/>
  <c r="T165" i="2" s="1"/>
  <c r="T166" i="2" s="1"/>
  <c r="T167" i="2" s="1"/>
  <c r="T168" i="2" s="1"/>
  <c r="T169" i="2" s="1"/>
  <c r="T170" i="2" s="1"/>
  <c r="T171" i="2" s="1"/>
  <c r="T172" i="2" s="1"/>
  <c r="T173" i="2" s="1"/>
  <c r="T174" i="2" s="1"/>
  <c r="T175" i="2" s="1"/>
  <c r="T176" i="2" s="1"/>
  <c r="T177" i="2" s="1"/>
  <c r="T178" i="2" s="1"/>
  <c r="T179" i="2" s="1"/>
  <c r="T180" i="2" s="1"/>
  <c r="T181" i="2" s="1"/>
  <c r="T182" i="2" s="1"/>
  <c r="T183" i="2" s="1"/>
  <c r="T184" i="2" s="1"/>
  <c r="T185" i="2" s="1"/>
  <c r="T186" i="2" s="1"/>
  <c r="T187" i="2" s="1"/>
  <c r="T188" i="2" s="1"/>
  <c r="T189" i="2" s="1"/>
  <c r="T190" i="2" s="1"/>
  <c r="T191" i="2" s="1"/>
  <c r="T192" i="2" s="1"/>
  <c r="T193" i="2" s="1"/>
  <c r="T194" i="2" s="1"/>
  <c r="T195" i="2" s="1"/>
  <c r="T196" i="2" s="1"/>
  <c r="T197" i="2" s="1"/>
  <c r="T198" i="2" s="1"/>
  <c r="T199" i="2" s="1"/>
  <c r="T200" i="2" s="1"/>
  <c r="T201" i="2" s="1"/>
  <c r="T202" i="2" s="1"/>
  <c r="T203" i="2" s="1"/>
  <c r="T204" i="2" s="1"/>
  <c r="T205" i="2" s="1"/>
  <c r="T206" i="2" s="1"/>
  <c r="T207" i="2" s="1"/>
  <c r="T208" i="2" s="1"/>
  <c r="T209" i="2" s="1"/>
  <c r="T210" i="2" s="1"/>
  <c r="T211" i="2" s="1"/>
  <c r="T212" i="2" s="1"/>
  <c r="T213" i="2" s="1"/>
  <c r="T214" i="2" s="1"/>
  <c r="T215" i="2" s="1"/>
  <c r="T216" i="2" s="1"/>
  <c r="T217" i="2" s="1"/>
  <c r="T218" i="2" s="1"/>
  <c r="T219" i="2" s="1"/>
  <c r="T220" i="2" s="1"/>
  <c r="T221" i="2" s="1"/>
  <c r="T222" i="2" s="1"/>
  <c r="T223" i="2" s="1"/>
  <c r="T224" i="2" s="1"/>
  <c r="T225" i="2" s="1"/>
  <c r="T226" i="2" s="1"/>
  <c r="T227" i="2" s="1"/>
  <c r="T228" i="2" s="1"/>
  <c r="T229" i="2" s="1"/>
  <c r="T230" i="2" s="1"/>
  <c r="T231" i="2" s="1"/>
  <c r="T232" i="2" s="1"/>
  <c r="T233" i="2" s="1"/>
  <c r="T234" i="2" s="1"/>
  <c r="T235" i="2" s="1"/>
  <c r="T236" i="2" s="1"/>
  <c r="T237" i="2" s="1"/>
  <c r="T238" i="2" s="1"/>
  <c r="T239" i="2" s="1"/>
  <c r="T240" i="2" s="1"/>
  <c r="T241" i="2" s="1"/>
  <c r="T242" i="2" s="1"/>
  <c r="T243" i="2" s="1"/>
  <c r="T244" i="2" s="1"/>
  <c r="T245" i="2" s="1"/>
  <c r="T246" i="2" s="1"/>
  <c r="T247" i="2" s="1"/>
  <c r="T248" i="2" s="1"/>
  <c r="T249" i="2" s="1"/>
  <c r="T250" i="2" s="1"/>
  <c r="T251" i="2" s="1"/>
  <c r="T252" i="2" s="1"/>
  <c r="T253" i="2" s="1"/>
  <c r="T254" i="2" s="1"/>
  <c r="T255" i="2" s="1"/>
  <c r="T256" i="2" s="1"/>
  <c r="T257" i="2" s="1"/>
  <c r="T258" i="2" s="1"/>
  <c r="T259" i="2" s="1"/>
  <c r="T260" i="2" s="1"/>
  <c r="T261" i="2" s="1"/>
  <c r="T262" i="2" s="1"/>
  <c r="T263" i="2" s="1"/>
  <c r="T264" i="2" s="1"/>
  <c r="T265" i="2" s="1"/>
  <c r="T266" i="2" s="1"/>
  <c r="T267" i="2" s="1"/>
  <c r="T268" i="2" s="1"/>
  <c r="T269" i="2" s="1"/>
  <c r="T270" i="2" s="1"/>
  <c r="T271" i="2" s="1"/>
  <c r="T272" i="2" s="1"/>
  <c r="T273" i="2" s="1"/>
  <c r="T274" i="2" s="1"/>
  <c r="T275" i="2" s="1"/>
  <c r="T276" i="2" s="1"/>
  <c r="T277" i="2" s="1"/>
  <c r="T278" i="2" s="1"/>
  <c r="T279" i="2" s="1"/>
  <c r="T280" i="2" s="1"/>
  <c r="T281" i="2" s="1"/>
  <c r="T282" i="2" s="1"/>
  <c r="T283" i="2" s="1"/>
  <c r="T284" i="2" s="1"/>
  <c r="T285" i="2" s="1"/>
  <c r="T286" i="2" s="1"/>
  <c r="T287" i="2" s="1"/>
  <c r="T288" i="2" s="1"/>
  <c r="T289" i="2" s="1"/>
  <c r="T290" i="2" s="1"/>
  <c r="T291" i="2" s="1"/>
  <c r="T292" i="2" s="1"/>
  <c r="T293" i="2" s="1"/>
  <c r="T294" i="2" s="1"/>
  <c r="T295" i="2" s="1"/>
  <c r="T296" i="2" s="1"/>
  <c r="T297" i="2" s="1"/>
  <c r="T298" i="2" s="1"/>
  <c r="T299" i="2" s="1"/>
  <c r="T300" i="2" s="1"/>
  <c r="T301" i="2" s="1"/>
  <c r="T302" i="2" s="1"/>
  <c r="T303" i="2" s="1"/>
  <c r="T304" i="2" s="1"/>
  <c r="T305" i="2" s="1"/>
  <c r="T306" i="2" s="1"/>
  <c r="T307" i="2" s="1"/>
  <c r="T308" i="2" s="1"/>
  <c r="T309" i="2" s="1"/>
  <c r="T310" i="2" s="1"/>
  <c r="T311" i="2" s="1"/>
  <c r="T312" i="2" s="1"/>
  <c r="T313" i="2" s="1"/>
  <c r="T314" i="2" s="1"/>
  <c r="T315" i="2" s="1"/>
  <c r="T316" i="2" s="1"/>
  <c r="T317" i="2" s="1"/>
  <c r="T318" i="2" s="1"/>
  <c r="T319" i="2" s="1"/>
  <c r="T320" i="2" s="1"/>
  <c r="T321" i="2" s="1"/>
  <c r="T322" i="2" s="1"/>
  <c r="T323" i="2" s="1"/>
  <c r="T324" i="2" s="1"/>
  <c r="T325" i="2" s="1"/>
  <c r="T326" i="2" s="1"/>
  <c r="T327" i="2" s="1"/>
  <c r="T328" i="2" s="1"/>
  <c r="T329" i="2" s="1"/>
  <c r="T330" i="2" s="1"/>
  <c r="T331" i="2" s="1"/>
  <c r="T332" i="2" s="1"/>
  <c r="T333" i="2" s="1"/>
  <c r="T334" i="2" s="1"/>
  <c r="T335" i="2" s="1"/>
  <c r="T336" i="2" s="1"/>
  <c r="T337" i="2" s="1"/>
  <c r="T338" i="2" s="1"/>
  <c r="T339" i="2" s="1"/>
  <c r="T340" i="2" s="1"/>
  <c r="T341" i="2" s="1"/>
  <c r="T342" i="2" s="1"/>
  <c r="T343" i="2" s="1"/>
  <c r="T344" i="2" s="1"/>
  <c r="T345" i="2" s="1"/>
  <c r="T346" i="2" s="1"/>
  <c r="T347" i="2" s="1"/>
  <c r="T348" i="2" s="1"/>
  <c r="T349" i="2" s="1"/>
  <c r="T350" i="2" s="1"/>
  <c r="T351" i="2" s="1"/>
  <c r="T352" i="2" s="1"/>
  <c r="T353" i="2" s="1"/>
  <c r="T354" i="2" s="1"/>
  <c r="T355" i="2" s="1"/>
  <c r="T356" i="2" s="1"/>
  <c r="T357" i="2" s="1"/>
  <c r="T358" i="2" s="1"/>
  <c r="T359" i="2" s="1"/>
  <c r="T360" i="2" s="1"/>
  <c r="T361" i="2" s="1"/>
  <c r="T362" i="2" s="1"/>
  <c r="T363" i="2" s="1"/>
  <c r="T364" i="2" s="1"/>
  <c r="T365" i="2" s="1"/>
  <c r="T366" i="2" s="1"/>
  <c r="T367" i="2" s="1"/>
  <c r="T368" i="2" s="1"/>
  <c r="T369" i="2" s="1"/>
  <c r="T370" i="2" s="1"/>
  <c r="T371" i="2" s="1"/>
  <c r="T372" i="2" s="1"/>
  <c r="T373" i="2" s="1"/>
  <c r="T374" i="2" s="1"/>
  <c r="T375" i="2" s="1"/>
  <c r="T376" i="2" s="1"/>
  <c r="T377" i="2" s="1"/>
  <c r="S18" i="2"/>
  <c r="S19" i="2" s="1"/>
  <c r="S20" i="2" s="1"/>
  <c r="S21" i="2" s="1"/>
  <c r="S22" i="2" s="1"/>
  <c r="S23" i="2" s="1"/>
  <c r="S24" i="2" s="1"/>
  <c r="S25" i="2" s="1"/>
  <c r="S26" i="2" s="1"/>
  <c r="S27" i="2" s="1"/>
  <c r="S28" i="2" s="1"/>
  <c r="S29" i="2" s="1"/>
  <c r="S30" i="2" s="1"/>
  <c r="S31" i="2" s="1"/>
  <c r="S32" i="2" s="1"/>
  <c r="S33" i="2" s="1"/>
  <c r="S34" i="2" s="1"/>
  <c r="S35" i="2" s="1"/>
  <c r="S36" i="2" s="1"/>
  <c r="S37" i="2" s="1"/>
  <c r="S38" i="2" s="1"/>
  <c r="S39" i="2" s="1"/>
  <c r="S40" i="2" s="1"/>
  <c r="S41" i="2" s="1"/>
  <c r="S42" i="2" s="1"/>
  <c r="S43" i="2" s="1"/>
  <c r="S44" i="2" s="1"/>
  <c r="S45" i="2" s="1"/>
  <c r="S46" i="2" s="1"/>
  <c r="S47" i="2" s="1"/>
  <c r="S48" i="2" s="1"/>
  <c r="S49" i="2" s="1"/>
  <c r="S50" i="2" s="1"/>
  <c r="S51" i="2" s="1"/>
  <c r="S52" i="2" s="1"/>
  <c r="S53" i="2" s="1"/>
  <c r="S54" i="2" s="1"/>
  <c r="S55" i="2" s="1"/>
  <c r="S56" i="2" s="1"/>
  <c r="S57" i="2" s="1"/>
  <c r="S58" i="2" s="1"/>
  <c r="S59" i="2" s="1"/>
  <c r="S60" i="2" s="1"/>
  <c r="S61" i="2" s="1"/>
  <c r="S62" i="2" s="1"/>
  <c r="S63" i="2" s="1"/>
  <c r="S64" i="2" s="1"/>
  <c r="S65" i="2" s="1"/>
  <c r="S66" i="2" s="1"/>
  <c r="S67" i="2" s="1"/>
  <c r="S68" i="2" s="1"/>
  <c r="S69" i="2" s="1"/>
  <c r="S70" i="2" s="1"/>
  <c r="S71" i="2" s="1"/>
  <c r="S72" i="2" s="1"/>
  <c r="S73" i="2" s="1"/>
  <c r="S74" i="2" s="1"/>
  <c r="S75" i="2" s="1"/>
  <c r="S76" i="2" s="1"/>
  <c r="S77" i="2" s="1"/>
  <c r="S78" i="2" s="1"/>
  <c r="S79" i="2" s="1"/>
  <c r="S80" i="2" s="1"/>
  <c r="S81" i="2" s="1"/>
  <c r="S82" i="2" s="1"/>
  <c r="S83" i="2" s="1"/>
  <c r="S84" i="2" s="1"/>
  <c r="S85" i="2" s="1"/>
  <c r="S86" i="2" s="1"/>
  <c r="S87" i="2" s="1"/>
  <c r="S88" i="2" s="1"/>
  <c r="S89" i="2" s="1"/>
  <c r="S90" i="2" s="1"/>
  <c r="S91" i="2" s="1"/>
  <c r="S92" i="2" s="1"/>
  <c r="S93" i="2" s="1"/>
  <c r="S94" i="2" s="1"/>
  <c r="S95" i="2" s="1"/>
  <c r="S96" i="2" s="1"/>
  <c r="S97" i="2" s="1"/>
  <c r="S98" i="2" s="1"/>
  <c r="S99" i="2" s="1"/>
  <c r="S100" i="2" s="1"/>
  <c r="S101" i="2" s="1"/>
  <c r="S102" i="2" s="1"/>
  <c r="S103" i="2" s="1"/>
  <c r="S104" i="2" s="1"/>
  <c r="S105" i="2" s="1"/>
  <c r="S106" i="2" s="1"/>
  <c r="S107" i="2" s="1"/>
  <c r="S108" i="2" s="1"/>
  <c r="S109" i="2" s="1"/>
  <c r="S110" i="2" s="1"/>
  <c r="S111" i="2" s="1"/>
  <c r="S112" i="2" s="1"/>
  <c r="S113" i="2" s="1"/>
  <c r="S114" i="2" s="1"/>
  <c r="S115" i="2" s="1"/>
  <c r="S116" i="2" s="1"/>
  <c r="S117" i="2" s="1"/>
  <c r="S118" i="2" s="1"/>
  <c r="S119" i="2" s="1"/>
  <c r="S120" i="2" s="1"/>
  <c r="S121" i="2" s="1"/>
  <c r="S122" i="2" s="1"/>
  <c r="S123" i="2" s="1"/>
  <c r="S124" i="2" s="1"/>
  <c r="S125" i="2" s="1"/>
  <c r="S126" i="2" s="1"/>
  <c r="S127" i="2" s="1"/>
  <c r="S128" i="2" s="1"/>
  <c r="S129" i="2" s="1"/>
  <c r="S130" i="2" s="1"/>
  <c r="S131" i="2" s="1"/>
  <c r="S132" i="2" s="1"/>
  <c r="S133" i="2" s="1"/>
  <c r="S134" i="2" s="1"/>
  <c r="S135" i="2" s="1"/>
  <c r="S136" i="2" s="1"/>
  <c r="S137" i="2" s="1"/>
  <c r="S138" i="2" s="1"/>
  <c r="S139" i="2" s="1"/>
  <c r="S140" i="2" s="1"/>
  <c r="S141" i="2" s="1"/>
  <c r="S142" i="2" s="1"/>
  <c r="S143" i="2" s="1"/>
  <c r="S144" i="2" s="1"/>
  <c r="S145" i="2" s="1"/>
  <c r="S146" i="2" s="1"/>
  <c r="S147" i="2" s="1"/>
  <c r="S148" i="2" s="1"/>
  <c r="S149" i="2" s="1"/>
  <c r="S150" i="2" s="1"/>
  <c r="S151" i="2" s="1"/>
  <c r="S152" i="2" s="1"/>
  <c r="S153" i="2" s="1"/>
  <c r="S154" i="2" s="1"/>
  <c r="S155" i="2" s="1"/>
  <c r="S156" i="2" s="1"/>
  <c r="S157" i="2" s="1"/>
  <c r="S158" i="2" s="1"/>
  <c r="S159" i="2" s="1"/>
  <c r="S160" i="2" s="1"/>
  <c r="S161" i="2" s="1"/>
  <c r="S162" i="2" s="1"/>
  <c r="S163" i="2" s="1"/>
  <c r="S164" i="2" s="1"/>
  <c r="S165" i="2" s="1"/>
  <c r="S166" i="2" s="1"/>
  <c r="S167" i="2" s="1"/>
  <c r="S168" i="2" s="1"/>
  <c r="S169" i="2" s="1"/>
  <c r="S170" i="2" s="1"/>
  <c r="S171" i="2" s="1"/>
  <c r="S172" i="2" s="1"/>
  <c r="S173" i="2" s="1"/>
  <c r="S174" i="2" s="1"/>
  <c r="S175" i="2" s="1"/>
  <c r="S176" i="2" s="1"/>
  <c r="S177" i="2" s="1"/>
  <c r="S178" i="2" s="1"/>
  <c r="S179" i="2" s="1"/>
  <c r="S180" i="2" s="1"/>
  <c r="S181" i="2" s="1"/>
  <c r="S182" i="2" s="1"/>
  <c r="S183" i="2" s="1"/>
  <c r="S184" i="2" s="1"/>
  <c r="S185" i="2" s="1"/>
  <c r="S186" i="2" s="1"/>
  <c r="S187" i="2" s="1"/>
  <c r="S188" i="2" s="1"/>
  <c r="S189" i="2" s="1"/>
  <c r="S190" i="2" s="1"/>
  <c r="S191" i="2" s="1"/>
  <c r="S192" i="2" s="1"/>
  <c r="S193" i="2" s="1"/>
  <c r="S194" i="2" s="1"/>
  <c r="S195" i="2" s="1"/>
  <c r="S196" i="2" s="1"/>
  <c r="S197" i="2" s="1"/>
  <c r="S198" i="2" s="1"/>
  <c r="S199" i="2" s="1"/>
  <c r="S200" i="2" s="1"/>
  <c r="S201" i="2" s="1"/>
  <c r="S202" i="2" s="1"/>
  <c r="S203" i="2" s="1"/>
  <c r="S204" i="2" s="1"/>
  <c r="S205" i="2" s="1"/>
  <c r="S206" i="2" s="1"/>
  <c r="S207" i="2" s="1"/>
  <c r="S208" i="2" s="1"/>
  <c r="S209" i="2" s="1"/>
  <c r="S210" i="2" s="1"/>
  <c r="S211" i="2" s="1"/>
  <c r="S212" i="2" s="1"/>
  <c r="S213" i="2" s="1"/>
  <c r="S214" i="2" s="1"/>
  <c r="S215" i="2" s="1"/>
  <c r="S216" i="2" s="1"/>
  <c r="S217" i="2" s="1"/>
  <c r="S218" i="2" s="1"/>
  <c r="S219" i="2" s="1"/>
  <c r="S220" i="2" s="1"/>
  <c r="S221" i="2" s="1"/>
  <c r="S222" i="2" s="1"/>
  <c r="S223" i="2" s="1"/>
  <c r="S224" i="2" s="1"/>
  <c r="S225" i="2" s="1"/>
  <c r="S226" i="2" s="1"/>
  <c r="S227" i="2" s="1"/>
  <c r="S228" i="2" s="1"/>
  <c r="S229" i="2" s="1"/>
  <c r="S230" i="2" s="1"/>
  <c r="S231" i="2" s="1"/>
  <c r="S232" i="2" s="1"/>
  <c r="S233" i="2" s="1"/>
  <c r="S234" i="2" s="1"/>
  <c r="S235" i="2" s="1"/>
  <c r="S236" i="2" s="1"/>
  <c r="S237" i="2" s="1"/>
  <c r="S238" i="2" s="1"/>
  <c r="S239" i="2" s="1"/>
  <c r="S240" i="2" s="1"/>
  <c r="S241" i="2" s="1"/>
  <c r="S242" i="2" s="1"/>
  <c r="S243" i="2" s="1"/>
  <c r="S244" i="2" s="1"/>
  <c r="S245" i="2" s="1"/>
  <c r="S246" i="2" s="1"/>
  <c r="S247" i="2" s="1"/>
  <c r="S248" i="2" s="1"/>
  <c r="S249" i="2" s="1"/>
  <c r="S250" i="2" s="1"/>
  <c r="S251" i="2" s="1"/>
  <c r="S252" i="2" s="1"/>
  <c r="S253" i="2" s="1"/>
  <c r="S254" i="2" s="1"/>
  <c r="S255" i="2" s="1"/>
  <c r="S256" i="2" s="1"/>
  <c r="S257" i="2" s="1"/>
  <c r="S258" i="2" s="1"/>
  <c r="S259" i="2" s="1"/>
  <c r="S260" i="2" s="1"/>
  <c r="S261" i="2" s="1"/>
  <c r="S262" i="2" s="1"/>
  <c r="S263" i="2" s="1"/>
  <c r="S264" i="2" s="1"/>
  <c r="S265" i="2" s="1"/>
  <c r="S266" i="2" s="1"/>
  <c r="S267" i="2" s="1"/>
  <c r="S268" i="2" s="1"/>
  <c r="S269" i="2" s="1"/>
  <c r="S270" i="2" s="1"/>
  <c r="S271" i="2" s="1"/>
  <c r="S272" i="2" s="1"/>
  <c r="S273" i="2" s="1"/>
  <c r="S274" i="2" s="1"/>
  <c r="S275" i="2" s="1"/>
  <c r="S276" i="2" s="1"/>
  <c r="S277" i="2" s="1"/>
  <c r="S278" i="2" s="1"/>
  <c r="S279" i="2" s="1"/>
  <c r="S280" i="2" s="1"/>
  <c r="S281" i="2" s="1"/>
  <c r="S282" i="2" s="1"/>
  <c r="S283" i="2" s="1"/>
  <c r="S284" i="2" s="1"/>
  <c r="S285" i="2" s="1"/>
  <c r="S286" i="2" s="1"/>
  <c r="S287" i="2" s="1"/>
  <c r="S288" i="2" s="1"/>
  <c r="S289" i="2" s="1"/>
  <c r="S290" i="2" s="1"/>
  <c r="S291" i="2" s="1"/>
  <c r="S292" i="2" s="1"/>
  <c r="S293" i="2" s="1"/>
  <c r="S294" i="2" s="1"/>
  <c r="S295" i="2" s="1"/>
  <c r="S296" i="2" s="1"/>
  <c r="S297" i="2" s="1"/>
  <c r="S298" i="2" s="1"/>
  <c r="S299" i="2" s="1"/>
  <c r="S300" i="2" s="1"/>
  <c r="S301" i="2" s="1"/>
  <c r="S302" i="2" s="1"/>
  <c r="S303" i="2" s="1"/>
  <c r="S304" i="2" s="1"/>
  <c r="S305" i="2" s="1"/>
  <c r="S306" i="2" s="1"/>
  <c r="S307" i="2" s="1"/>
  <c r="S308" i="2" s="1"/>
  <c r="S309" i="2" s="1"/>
  <c r="S310" i="2" s="1"/>
  <c r="S311" i="2" s="1"/>
  <c r="S312" i="2" s="1"/>
  <c r="S313" i="2" s="1"/>
  <c r="S314" i="2" s="1"/>
  <c r="S315" i="2" s="1"/>
  <c r="S316" i="2" s="1"/>
  <c r="S317" i="2" s="1"/>
  <c r="S318" i="2" s="1"/>
  <c r="S319" i="2" s="1"/>
  <c r="S320" i="2" s="1"/>
  <c r="S321" i="2" s="1"/>
  <c r="S322" i="2" s="1"/>
  <c r="S323" i="2" s="1"/>
  <c r="S324" i="2" s="1"/>
  <c r="S325" i="2" s="1"/>
  <c r="S326" i="2" s="1"/>
  <c r="S327" i="2" s="1"/>
  <c r="S328" i="2" s="1"/>
  <c r="S329" i="2" s="1"/>
  <c r="S330" i="2" s="1"/>
  <c r="S331" i="2" s="1"/>
  <c r="S332" i="2" s="1"/>
  <c r="S333" i="2" s="1"/>
  <c r="S334" i="2" s="1"/>
  <c r="S335" i="2" s="1"/>
  <c r="S336" i="2" s="1"/>
  <c r="S337" i="2" s="1"/>
  <c r="S338" i="2" s="1"/>
  <c r="S339" i="2" s="1"/>
  <c r="S340" i="2" s="1"/>
  <c r="S341" i="2" s="1"/>
  <c r="S342" i="2" s="1"/>
  <c r="S343" i="2" s="1"/>
  <c r="S344" i="2" s="1"/>
  <c r="S345" i="2" s="1"/>
  <c r="S346" i="2" s="1"/>
  <c r="S347" i="2" s="1"/>
  <c r="S348" i="2" s="1"/>
  <c r="S349" i="2" s="1"/>
  <c r="S350" i="2" s="1"/>
  <c r="S351" i="2" s="1"/>
  <c r="S352" i="2" s="1"/>
  <c r="S353" i="2" s="1"/>
  <c r="S354" i="2" s="1"/>
  <c r="S355" i="2" s="1"/>
  <c r="S356" i="2" s="1"/>
  <c r="S357" i="2" s="1"/>
  <c r="S358" i="2" s="1"/>
  <c r="S359" i="2" s="1"/>
  <c r="S360" i="2" s="1"/>
  <c r="S361" i="2" s="1"/>
  <c r="S362" i="2" s="1"/>
  <c r="S363" i="2" s="1"/>
  <c r="S364" i="2" s="1"/>
  <c r="S365" i="2" s="1"/>
  <c r="S366" i="2" s="1"/>
  <c r="S367" i="2" s="1"/>
  <c r="S368" i="2" s="1"/>
  <c r="S369" i="2" s="1"/>
  <c r="S370" i="2" s="1"/>
  <c r="S371" i="2" s="1"/>
  <c r="S372" i="2" s="1"/>
  <c r="S373" i="2" s="1"/>
  <c r="S374" i="2" s="1"/>
  <c r="S375" i="2" s="1"/>
  <c r="S376" i="2" s="1"/>
  <c r="S377" i="2" s="1"/>
  <c r="R18" i="2"/>
  <c r="R19" i="2" s="1"/>
  <c r="R20" i="2" s="1"/>
  <c r="R21" i="2" s="1"/>
  <c r="R22" i="2" s="1"/>
  <c r="R23" i="2" s="1"/>
  <c r="R24" i="2" s="1"/>
  <c r="R25" i="2" s="1"/>
  <c r="R26" i="2" s="1"/>
  <c r="R27" i="2" s="1"/>
  <c r="R28" i="2" s="1"/>
  <c r="R29" i="2" s="1"/>
  <c r="R30" i="2" s="1"/>
  <c r="R31" i="2" s="1"/>
  <c r="R32" i="2" s="1"/>
  <c r="R33" i="2" s="1"/>
  <c r="R34" i="2" s="1"/>
  <c r="R35" i="2" s="1"/>
  <c r="R36" i="2" s="1"/>
  <c r="R37" i="2" s="1"/>
  <c r="R38" i="2" s="1"/>
  <c r="R39" i="2" s="1"/>
  <c r="R40" i="2" s="1"/>
  <c r="R41" i="2" s="1"/>
  <c r="R42" i="2" s="1"/>
  <c r="R43" i="2" s="1"/>
  <c r="R44" i="2" s="1"/>
  <c r="R45" i="2" s="1"/>
  <c r="R46" i="2" s="1"/>
  <c r="R47" i="2" s="1"/>
  <c r="R48" i="2" s="1"/>
  <c r="R49" i="2" s="1"/>
  <c r="R50" i="2" s="1"/>
  <c r="R51" i="2" s="1"/>
  <c r="R52" i="2" s="1"/>
  <c r="R53" i="2" s="1"/>
  <c r="R54" i="2" s="1"/>
  <c r="R55" i="2" s="1"/>
  <c r="R56" i="2" s="1"/>
  <c r="R57" i="2" s="1"/>
  <c r="R58" i="2" s="1"/>
  <c r="R59" i="2" s="1"/>
  <c r="R60" i="2" s="1"/>
  <c r="R61" i="2" s="1"/>
  <c r="R62" i="2" s="1"/>
  <c r="R63" i="2" s="1"/>
  <c r="R64" i="2" s="1"/>
  <c r="R65" i="2" s="1"/>
  <c r="R66" i="2" s="1"/>
  <c r="R67" i="2" s="1"/>
  <c r="R68" i="2" s="1"/>
  <c r="R69" i="2" s="1"/>
  <c r="R70" i="2" s="1"/>
  <c r="R71" i="2" s="1"/>
  <c r="R72" i="2" s="1"/>
  <c r="R73" i="2" s="1"/>
  <c r="R74" i="2" s="1"/>
  <c r="R75" i="2" s="1"/>
  <c r="R76" i="2" s="1"/>
  <c r="R77" i="2" s="1"/>
  <c r="R78" i="2" s="1"/>
  <c r="R79" i="2" s="1"/>
  <c r="R80" i="2" s="1"/>
  <c r="R81" i="2" s="1"/>
  <c r="R82" i="2" s="1"/>
  <c r="R83" i="2" s="1"/>
  <c r="R84" i="2" s="1"/>
  <c r="R85" i="2" s="1"/>
  <c r="R86" i="2" s="1"/>
  <c r="R87" i="2" s="1"/>
  <c r="R88" i="2" s="1"/>
  <c r="R89" i="2" s="1"/>
  <c r="R90" i="2" s="1"/>
  <c r="R91" i="2" s="1"/>
  <c r="R92" i="2" s="1"/>
  <c r="R93" i="2" s="1"/>
  <c r="R94" i="2" s="1"/>
  <c r="R95" i="2" s="1"/>
  <c r="R96" i="2" s="1"/>
  <c r="R97" i="2" s="1"/>
  <c r="R98" i="2" s="1"/>
  <c r="R99" i="2" s="1"/>
  <c r="R100" i="2" s="1"/>
  <c r="R101" i="2" s="1"/>
  <c r="R102" i="2" s="1"/>
  <c r="R103" i="2" s="1"/>
  <c r="R104" i="2" s="1"/>
  <c r="R105" i="2" s="1"/>
  <c r="R106" i="2" s="1"/>
  <c r="R107" i="2" s="1"/>
  <c r="R108" i="2" s="1"/>
  <c r="R109" i="2" s="1"/>
  <c r="R110" i="2" s="1"/>
  <c r="R111" i="2" s="1"/>
  <c r="R112" i="2" s="1"/>
  <c r="R113" i="2" s="1"/>
  <c r="R114" i="2" s="1"/>
  <c r="R115" i="2" s="1"/>
  <c r="R116" i="2" s="1"/>
  <c r="R117" i="2" s="1"/>
  <c r="R118" i="2" s="1"/>
  <c r="R119" i="2" s="1"/>
  <c r="R120" i="2" s="1"/>
  <c r="R121" i="2" s="1"/>
  <c r="R122" i="2" s="1"/>
  <c r="R123" i="2" s="1"/>
  <c r="R124" i="2" s="1"/>
  <c r="R125" i="2" s="1"/>
  <c r="R126" i="2" s="1"/>
  <c r="R127" i="2" s="1"/>
  <c r="R128" i="2" s="1"/>
  <c r="R129" i="2" s="1"/>
  <c r="R130" i="2" s="1"/>
  <c r="R131" i="2" s="1"/>
  <c r="R132" i="2" s="1"/>
  <c r="R133" i="2" s="1"/>
  <c r="R134" i="2" s="1"/>
  <c r="R135" i="2" s="1"/>
  <c r="R136" i="2" s="1"/>
  <c r="R137" i="2" s="1"/>
  <c r="R138" i="2" s="1"/>
  <c r="R139" i="2" s="1"/>
  <c r="R140" i="2" s="1"/>
  <c r="R141" i="2" s="1"/>
  <c r="R142" i="2" s="1"/>
  <c r="R143" i="2" s="1"/>
  <c r="R144" i="2" s="1"/>
  <c r="R145" i="2" s="1"/>
  <c r="R146" i="2" s="1"/>
  <c r="R147" i="2" s="1"/>
  <c r="R148" i="2" s="1"/>
  <c r="R149" i="2" s="1"/>
  <c r="R150" i="2" s="1"/>
  <c r="R151" i="2" s="1"/>
  <c r="R152" i="2" s="1"/>
  <c r="R153" i="2" s="1"/>
  <c r="R154" i="2" s="1"/>
  <c r="R155" i="2" s="1"/>
  <c r="R156" i="2" s="1"/>
  <c r="R157" i="2" s="1"/>
  <c r="R158" i="2" s="1"/>
  <c r="R159" i="2" s="1"/>
  <c r="R160" i="2" s="1"/>
  <c r="R161" i="2" s="1"/>
  <c r="R162" i="2" s="1"/>
  <c r="R163" i="2" s="1"/>
  <c r="R164" i="2" s="1"/>
  <c r="R165" i="2" s="1"/>
  <c r="R166" i="2" s="1"/>
  <c r="R167" i="2" s="1"/>
  <c r="R168" i="2" s="1"/>
  <c r="R169" i="2" s="1"/>
  <c r="R170" i="2" s="1"/>
  <c r="R171" i="2" s="1"/>
  <c r="R172" i="2" s="1"/>
  <c r="R173" i="2" s="1"/>
  <c r="R174" i="2" s="1"/>
  <c r="R175" i="2" s="1"/>
  <c r="R176" i="2" s="1"/>
  <c r="R177" i="2" s="1"/>
  <c r="R178" i="2" s="1"/>
  <c r="R179" i="2" s="1"/>
  <c r="R180" i="2" s="1"/>
  <c r="R181" i="2" s="1"/>
  <c r="R182" i="2" s="1"/>
  <c r="R183" i="2" s="1"/>
  <c r="R184" i="2" s="1"/>
  <c r="R185" i="2" s="1"/>
  <c r="R186" i="2" s="1"/>
  <c r="R187" i="2" s="1"/>
  <c r="R188" i="2" s="1"/>
  <c r="R189" i="2" s="1"/>
  <c r="R190" i="2" s="1"/>
  <c r="R191" i="2" s="1"/>
  <c r="R192" i="2" s="1"/>
  <c r="R193" i="2" s="1"/>
  <c r="R194" i="2" s="1"/>
  <c r="R195" i="2" s="1"/>
  <c r="R196" i="2" s="1"/>
  <c r="R197" i="2" s="1"/>
  <c r="R198" i="2" s="1"/>
  <c r="R199" i="2" s="1"/>
  <c r="R200" i="2" s="1"/>
  <c r="R201" i="2" s="1"/>
  <c r="R202" i="2" s="1"/>
  <c r="R203" i="2" s="1"/>
  <c r="R204" i="2" s="1"/>
  <c r="R205" i="2" s="1"/>
  <c r="R206" i="2" s="1"/>
  <c r="R207" i="2" s="1"/>
  <c r="R208" i="2" s="1"/>
  <c r="R209" i="2" s="1"/>
  <c r="R210" i="2" s="1"/>
  <c r="R211" i="2" s="1"/>
  <c r="R212" i="2" s="1"/>
  <c r="R213" i="2" s="1"/>
  <c r="R214" i="2" s="1"/>
  <c r="R215" i="2" s="1"/>
  <c r="R216" i="2" s="1"/>
  <c r="R217" i="2" s="1"/>
  <c r="R218" i="2" s="1"/>
  <c r="R219" i="2" s="1"/>
  <c r="R220" i="2" s="1"/>
  <c r="R221" i="2" s="1"/>
  <c r="R222" i="2" s="1"/>
  <c r="R223" i="2" s="1"/>
  <c r="R224" i="2" s="1"/>
  <c r="R225" i="2" s="1"/>
  <c r="R226" i="2" s="1"/>
  <c r="R227" i="2" s="1"/>
  <c r="R228" i="2" s="1"/>
  <c r="R229" i="2" s="1"/>
  <c r="R230" i="2" s="1"/>
  <c r="R231" i="2" s="1"/>
  <c r="R232" i="2" s="1"/>
  <c r="R233" i="2" s="1"/>
  <c r="R234" i="2" s="1"/>
  <c r="R235" i="2" s="1"/>
  <c r="R236" i="2" s="1"/>
  <c r="R237" i="2" s="1"/>
  <c r="R238" i="2" s="1"/>
  <c r="R239" i="2" s="1"/>
  <c r="R240" i="2" s="1"/>
  <c r="R241" i="2" s="1"/>
  <c r="R242" i="2" s="1"/>
  <c r="R243" i="2" s="1"/>
  <c r="R244" i="2" s="1"/>
  <c r="R245" i="2" s="1"/>
  <c r="R246" i="2" s="1"/>
  <c r="R247" i="2" s="1"/>
  <c r="R248" i="2" s="1"/>
  <c r="R249" i="2" s="1"/>
  <c r="R250" i="2" s="1"/>
  <c r="R251" i="2" s="1"/>
  <c r="R252" i="2" s="1"/>
  <c r="R253" i="2" s="1"/>
  <c r="R254" i="2" s="1"/>
  <c r="R255" i="2" s="1"/>
  <c r="R256" i="2" s="1"/>
  <c r="R257" i="2" s="1"/>
  <c r="R258" i="2" s="1"/>
  <c r="R259" i="2" s="1"/>
  <c r="R260" i="2" s="1"/>
  <c r="R261" i="2" s="1"/>
  <c r="R262" i="2" s="1"/>
  <c r="R263" i="2" s="1"/>
  <c r="R264" i="2" s="1"/>
  <c r="R265" i="2" s="1"/>
  <c r="R266" i="2" s="1"/>
  <c r="R267" i="2" s="1"/>
  <c r="R268" i="2" s="1"/>
  <c r="R269" i="2" s="1"/>
  <c r="R270" i="2" s="1"/>
  <c r="R271" i="2" s="1"/>
  <c r="R272" i="2" s="1"/>
  <c r="R273" i="2" s="1"/>
  <c r="R274" i="2" s="1"/>
  <c r="R275" i="2" s="1"/>
  <c r="R276" i="2" s="1"/>
  <c r="R277" i="2" s="1"/>
  <c r="R278" i="2" s="1"/>
  <c r="R279" i="2" s="1"/>
  <c r="R280" i="2" s="1"/>
  <c r="R281" i="2" s="1"/>
  <c r="R282" i="2" s="1"/>
  <c r="R283" i="2" s="1"/>
  <c r="R284" i="2" s="1"/>
  <c r="R285" i="2" s="1"/>
  <c r="R286" i="2" s="1"/>
  <c r="R287" i="2" s="1"/>
  <c r="R288" i="2" s="1"/>
  <c r="R289" i="2" s="1"/>
  <c r="R290" i="2" s="1"/>
  <c r="R291" i="2" s="1"/>
  <c r="R292" i="2" s="1"/>
  <c r="R293" i="2" s="1"/>
  <c r="R294" i="2" s="1"/>
  <c r="R295" i="2" s="1"/>
  <c r="R296" i="2" s="1"/>
  <c r="R297" i="2" s="1"/>
  <c r="R298" i="2" s="1"/>
  <c r="R299" i="2" s="1"/>
  <c r="R300" i="2" s="1"/>
  <c r="R301" i="2" s="1"/>
  <c r="R302" i="2" s="1"/>
  <c r="R303" i="2" s="1"/>
  <c r="R304" i="2" s="1"/>
  <c r="R305" i="2" s="1"/>
  <c r="R306" i="2" s="1"/>
  <c r="R307" i="2" s="1"/>
  <c r="R308" i="2" s="1"/>
  <c r="R309" i="2" s="1"/>
  <c r="R310" i="2" s="1"/>
  <c r="R311" i="2" s="1"/>
  <c r="R312" i="2" s="1"/>
  <c r="R313" i="2" s="1"/>
  <c r="R314" i="2" s="1"/>
  <c r="R315" i="2" s="1"/>
  <c r="R316" i="2" s="1"/>
  <c r="R317" i="2" s="1"/>
  <c r="R318" i="2" s="1"/>
  <c r="R319" i="2" s="1"/>
  <c r="R320" i="2" s="1"/>
  <c r="R321" i="2" s="1"/>
  <c r="R322" i="2" s="1"/>
  <c r="R323" i="2" s="1"/>
  <c r="R324" i="2" s="1"/>
  <c r="R325" i="2" s="1"/>
  <c r="R326" i="2" s="1"/>
  <c r="R327" i="2" s="1"/>
  <c r="R328" i="2" s="1"/>
  <c r="R329" i="2" s="1"/>
  <c r="R330" i="2" s="1"/>
  <c r="R331" i="2" s="1"/>
  <c r="R332" i="2" s="1"/>
  <c r="R333" i="2" s="1"/>
  <c r="R334" i="2" s="1"/>
  <c r="R335" i="2" s="1"/>
  <c r="R336" i="2" s="1"/>
  <c r="R337" i="2" s="1"/>
  <c r="R338" i="2" s="1"/>
  <c r="R339" i="2" s="1"/>
  <c r="R340" i="2" s="1"/>
  <c r="R341" i="2" s="1"/>
  <c r="R342" i="2" s="1"/>
  <c r="R343" i="2" s="1"/>
  <c r="R344" i="2" s="1"/>
  <c r="R345" i="2" s="1"/>
  <c r="R346" i="2" s="1"/>
  <c r="R347" i="2" s="1"/>
  <c r="R348" i="2" s="1"/>
  <c r="R349" i="2" s="1"/>
  <c r="R350" i="2" s="1"/>
  <c r="R351" i="2" s="1"/>
  <c r="R352" i="2" s="1"/>
  <c r="R353" i="2" s="1"/>
  <c r="R354" i="2" s="1"/>
  <c r="R355" i="2" s="1"/>
  <c r="R356" i="2" s="1"/>
  <c r="R357" i="2" s="1"/>
  <c r="R358" i="2" s="1"/>
  <c r="R359" i="2" s="1"/>
  <c r="R360" i="2" s="1"/>
  <c r="R361" i="2" s="1"/>
  <c r="R362" i="2" s="1"/>
  <c r="R363" i="2" s="1"/>
  <c r="R364" i="2" s="1"/>
  <c r="R365" i="2" s="1"/>
  <c r="R366" i="2" s="1"/>
  <c r="R367" i="2" s="1"/>
  <c r="R368" i="2" s="1"/>
  <c r="R369" i="2" s="1"/>
  <c r="R370" i="2" s="1"/>
  <c r="R371" i="2" s="1"/>
  <c r="R372" i="2" s="1"/>
  <c r="R373" i="2" s="1"/>
  <c r="R374" i="2" s="1"/>
  <c r="R375" i="2" s="1"/>
  <c r="R376" i="2" s="1"/>
  <c r="R377" i="2" s="1"/>
  <c r="Q18" i="2"/>
  <c r="Q19" i="2" s="1"/>
  <c r="Q20" i="2" s="1"/>
  <c r="Q21" i="2" s="1"/>
  <c r="Q22" i="2" s="1"/>
  <c r="Q23" i="2" s="1"/>
  <c r="Q24" i="2" s="1"/>
  <c r="Q25" i="2" s="1"/>
  <c r="Q26" i="2" s="1"/>
  <c r="Q27" i="2" s="1"/>
  <c r="Q28" i="2" s="1"/>
  <c r="Q29" i="2" s="1"/>
  <c r="Q30" i="2" s="1"/>
  <c r="Q31" i="2" s="1"/>
  <c r="Q32" i="2" s="1"/>
  <c r="Q33" i="2" s="1"/>
  <c r="Q34" i="2" s="1"/>
  <c r="Q35" i="2" s="1"/>
  <c r="Q36" i="2" s="1"/>
  <c r="Q37" i="2" s="1"/>
  <c r="Q38" i="2" s="1"/>
  <c r="Q39" i="2" s="1"/>
  <c r="Q40" i="2" s="1"/>
  <c r="Q41" i="2" s="1"/>
  <c r="Q42" i="2" s="1"/>
  <c r="Q43" i="2" s="1"/>
  <c r="Q44" i="2" s="1"/>
  <c r="Q45" i="2" s="1"/>
  <c r="Q46" i="2" s="1"/>
  <c r="Q47" i="2" s="1"/>
  <c r="Q48" i="2" s="1"/>
  <c r="Q49" i="2" s="1"/>
  <c r="Q50" i="2" s="1"/>
  <c r="Q51" i="2" s="1"/>
  <c r="Q52" i="2" s="1"/>
  <c r="Q53" i="2" s="1"/>
  <c r="Q54" i="2" s="1"/>
  <c r="Q55" i="2" s="1"/>
  <c r="Q56" i="2" s="1"/>
  <c r="Q57" i="2" s="1"/>
  <c r="Q58" i="2" s="1"/>
  <c r="Q59" i="2" s="1"/>
  <c r="Q60" i="2" s="1"/>
  <c r="Q61" i="2" s="1"/>
  <c r="Q62" i="2" s="1"/>
  <c r="Q63" i="2" s="1"/>
  <c r="Q64" i="2" s="1"/>
  <c r="Q65" i="2" s="1"/>
  <c r="Q66" i="2" s="1"/>
  <c r="Q67" i="2" s="1"/>
  <c r="Q68" i="2" s="1"/>
  <c r="Q69" i="2" s="1"/>
  <c r="Q70" i="2" s="1"/>
  <c r="Q71" i="2" s="1"/>
  <c r="Q72" i="2" s="1"/>
  <c r="Q73" i="2" s="1"/>
  <c r="Q74" i="2" s="1"/>
  <c r="Q75" i="2" s="1"/>
  <c r="Q76" i="2" s="1"/>
  <c r="Q77" i="2" s="1"/>
  <c r="Q78" i="2" s="1"/>
  <c r="Q79" i="2" s="1"/>
  <c r="Q80" i="2" s="1"/>
  <c r="Q81" i="2" s="1"/>
  <c r="Q82" i="2" s="1"/>
  <c r="Q83" i="2" s="1"/>
  <c r="Q84" i="2" s="1"/>
  <c r="Q85" i="2" s="1"/>
  <c r="Q86" i="2" s="1"/>
  <c r="Q87" i="2" s="1"/>
  <c r="Q88" i="2" s="1"/>
  <c r="Q89" i="2" s="1"/>
  <c r="Q90" i="2" s="1"/>
  <c r="Q91" i="2" s="1"/>
  <c r="Q92" i="2" s="1"/>
  <c r="Q93" i="2" s="1"/>
  <c r="Q94" i="2" s="1"/>
  <c r="Q95" i="2" s="1"/>
  <c r="Q96" i="2" s="1"/>
  <c r="Q97" i="2" s="1"/>
  <c r="Q98" i="2" s="1"/>
  <c r="Q99" i="2" s="1"/>
  <c r="Q100" i="2" s="1"/>
  <c r="Q101" i="2" s="1"/>
  <c r="Q102" i="2" s="1"/>
  <c r="Q103" i="2" s="1"/>
  <c r="Q104" i="2" s="1"/>
  <c r="Q105" i="2" s="1"/>
  <c r="Q106" i="2" s="1"/>
  <c r="Q107" i="2" s="1"/>
  <c r="Q108" i="2" s="1"/>
  <c r="Q109" i="2" s="1"/>
  <c r="Q110" i="2" s="1"/>
  <c r="Q111" i="2" s="1"/>
  <c r="Q112" i="2" s="1"/>
  <c r="Q113" i="2" s="1"/>
  <c r="Q114" i="2" s="1"/>
  <c r="Q115" i="2" s="1"/>
  <c r="Q116" i="2" s="1"/>
  <c r="Q117" i="2" s="1"/>
  <c r="Q118" i="2" s="1"/>
  <c r="Q119" i="2" s="1"/>
  <c r="Q120" i="2" s="1"/>
  <c r="Q121" i="2" s="1"/>
  <c r="Q122" i="2" s="1"/>
  <c r="Q123" i="2" s="1"/>
  <c r="Q124" i="2" s="1"/>
  <c r="Q125" i="2" s="1"/>
  <c r="Q126" i="2" s="1"/>
  <c r="Q127" i="2" s="1"/>
  <c r="Q128" i="2" s="1"/>
  <c r="Q129" i="2" s="1"/>
  <c r="Q130" i="2" s="1"/>
  <c r="Q131" i="2" s="1"/>
  <c r="Q132" i="2" s="1"/>
  <c r="Q133" i="2" s="1"/>
  <c r="Q134" i="2" s="1"/>
  <c r="Q135" i="2" s="1"/>
  <c r="Q136" i="2" s="1"/>
  <c r="Q137" i="2" s="1"/>
  <c r="Q138" i="2" s="1"/>
  <c r="Q139" i="2" s="1"/>
  <c r="Q140" i="2" s="1"/>
  <c r="Q141" i="2" s="1"/>
  <c r="Q142" i="2" s="1"/>
  <c r="Q143" i="2" s="1"/>
  <c r="Q144" i="2" s="1"/>
  <c r="Q145" i="2" s="1"/>
  <c r="Q146" i="2" s="1"/>
  <c r="Q147" i="2" s="1"/>
  <c r="Q148" i="2" s="1"/>
  <c r="Q149" i="2" s="1"/>
  <c r="Q150" i="2" s="1"/>
  <c r="Q151" i="2" s="1"/>
  <c r="Q152" i="2" s="1"/>
  <c r="Q153" i="2" s="1"/>
  <c r="Q154" i="2" s="1"/>
  <c r="Q155" i="2" s="1"/>
  <c r="Q156" i="2" s="1"/>
  <c r="Q157" i="2" s="1"/>
  <c r="Q158" i="2" s="1"/>
  <c r="Q159" i="2" s="1"/>
  <c r="Q160" i="2" s="1"/>
  <c r="Q161" i="2" s="1"/>
  <c r="Q162" i="2" s="1"/>
  <c r="Q163" i="2" s="1"/>
  <c r="Q164" i="2" s="1"/>
  <c r="Q165" i="2" s="1"/>
  <c r="Q166" i="2" s="1"/>
  <c r="Q167" i="2" s="1"/>
  <c r="Q168" i="2" s="1"/>
  <c r="Q169" i="2" s="1"/>
  <c r="Q170" i="2" s="1"/>
  <c r="Q171" i="2" s="1"/>
  <c r="Q172" i="2" s="1"/>
  <c r="Q173" i="2" s="1"/>
  <c r="Q174" i="2" s="1"/>
  <c r="Q175" i="2" s="1"/>
  <c r="Q176" i="2" s="1"/>
  <c r="Q177" i="2" s="1"/>
  <c r="Q178" i="2" s="1"/>
  <c r="Q179" i="2" s="1"/>
  <c r="Q180" i="2" s="1"/>
  <c r="Q181" i="2" s="1"/>
  <c r="Q182" i="2" s="1"/>
  <c r="Q183" i="2" s="1"/>
  <c r="Q184" i="2" s="1"/>
  <c r="Q185" i="2" s="1"/>
  <c r="Q186" i="2" s="1"/>
  <c r="Q187" i="2" s="1"/>
  <c r="Q188" i="2" s="1"/>
  <c r="Q189" i="2" s="1"/>
  <c r="Q190" i="2" s="1"/>
  <c r="Q191" i="2" s="1"/>
  <c r="Q192" i="2" s="1"/>
  <c r="Q193" i="2" s="1"/>
  <c r="Q194" i="2" s="1"/>
  <c r="Q195" i="2" s="1"/>
  <c r="Q196" i="2" s="1"/>
  <c r="Q197" i="2" s="1"/>
  <c r="Q198" i="2" s="1"/>
  <c r="Q199" i="2" s="1"/>
  <c r="Q200" i="2" s="1"/>
  <c r="Q201" i="2" s="1"/>
  <c r="Q202" i="2" s="1"/>
  <c r="Q203" i="2" s="1"/>
  <c r="Q204" i="2" s="1"/>
  <c r="Q205" i="2" s="1"/>
  <c r="Q206" i="2" s="1"/>
  <c r="Q207" i="2" s="1"/>
  <c r="Q208" i="2" s="1"/>
  <c r="Q209" i="2" s="1"/>
  <c r="Q210" i="2" s="1"/>
  <c r="Q211" i="2" s="1"/>
  <c r="Q212" i="2" s="1"/>
  <c r="Q213" i="2" s="1"/>
  <c r="Q214" i="2" s="1"/>
  <c r="Q215" i="2" s="1"/>
  <c r="Q216" i="2" s="1"/>
  <c r="Q217" i="2" s="1"/>
  <c r="Q218" i="2" s="1"/>
  <c r="Q219" i="2" s="1"/>
  <c r="Q220" i="2" s="1"/>
  <c r="Q221" i="2" s="1"/>
  <c r="Q222" i="2" s="1"/>
  <c r="Q223" i="2" s="1"/>
  <c r="Q224" i="2" s="1"/>
  <c r="Q225" i="2" s="1"/>
  <c r="Q226" i="2" s="1"/>
  <c r="Q227" i="2" s="1"/>
  <c r="Q228" i="2" s="1"/>
  <c r="Q229" i="2" s="1"/>
  <c r="Q230" i="2" s="1"/>
  <c r="Q231" i="2" s="1"/>
  <c r="Q232" i="2" s="1"/>
  <c r="Q233" i="2" s="1"/>
  <c r="Q234" i="2" s="1"/>
  <c r="Q235" i="2" s="1"/>
  <c r="Q236" i="2" s="1"/>
  <c r="Q237" i="2" s="1"/>
  <c r="Q238" i="2" s="1"/>
  <c r="Q239" i="2" s="1"/>
  <c r="Q240" i="2" s="1"/>
  <c r="Q241" i="2" s="1"/>
  <c r="Q242" i="2" s="1"/>
  <c r="Q243" i="2" s="1"/>
  <c r="Q244" i="2" s="1"/>
  <c r="Q245" i="2" s="1"/>
  <c r="Q246" i="2" s="1"/>
  <c r="Q247" i="2" s="1"/>
  <c r="Q248" i="2" s="1"/>
  <c r="Q249" i="2" s="1"/>
  <c r="Q250" i="2" s="1"/>
  <c r="Q251" i="2" s="1"/>
  <c r="Q252" i="2" s="1"/>
  <c r="Q253" i="2" s="1"/>
  <c r="Q254" i="2" s="1"/>
  <c r="Q255" i="2" s="1"/>
  <c r="Q256" i="2" s="1"/>
  <c r="Q257" i="2" s="1"/>
  <c r="Q258" i="2" s="1"/>
  <c r="Q259" i="2" s="1"/>
  <c r="Q260" i="2" s="1"/>
  <c r="Q261" i="2" s="1"/>
  <c r="Q262" i="2" s="1"/>
  <c r="Q263" i="2" s="1"/>
  <c r="Q264" i="2" s="1"/>
  <c r="Q265" i="2" s="1"/>
  <c r="Q266" i="2" s="1"/>
  <c r="Q267" i="2" s="1"/>
  <c r="Q268" i="2" s="1"/>
  <c r="Q269" i="2" s="1"/>
  <c r="Q270" i="2" s="1"/>
  <c r="Q271" i="2" s="1"/>
  <c r="Q272" i="2" s="1"/>
  <c r="Q273" i="2" s="1"/>
  <c r="Q274" i="2" s="1"/>
  <c r="Q275" i="2" s="1"/>
  <c r="Q276" i="2" s="1"/>
  <c r="Q277" i="2" s="1"/>
  <c r="Q278" i="2" s="1"/>
  <c r="Q279" i="2" s="1"/>
  <c r="Q280" i="2" s="1"/>
  <c r="Q281" i="2" s="1"/>
  <c r="Q282" i="2" s="1"/>
  <c r="Q283" i="2" s="1"/>
  <c r="Q284" i="2" s="1"/>
  <c r="Q285" i="2" s="1"/>
  <c r="Q286" i="2" s="1"/>
  <c r="Q287" i="2" s="1"/>
  <c r="Q288" i="2" s="1"/>
  <c r="Q289" i="2" s="1"/>
  <c r="Q290" i="2" s="1"/>
  <c r="Q291" i="2" s="1"/>
  <c r="Q292" i="2" s="1"/>
  <c r="Q293" i="2" s="1"/>
  <c r="Q294" i="2" s="1"/>
  <c r="Q295" i="2" s="1"/>
  <c r="Q296" i="2" s="1"/>
  <c r="Q297" i="2" s="1"/>
  <c r="Q298" i="2" s="1"/>
  <c r="Q299" i="2" s="1"/>
  <c r="Q300" i="2" s="1"/>
  <c r="Q301" i="2" s="1"/>
  <c r="Q302" i="2" s="1"/>
  <c r="Q303" i="2" s="1"/>
  <c r="Q304" i="2" s="1"/>
  <c r="Q305" i="2" s="1"/>
  <c r="Q306" i="2" s="1"/>
  <c r="Q307" i="2" s="1"/>
  <c r="Q308" i="2" s="1"/>
  <c r="Q309" i="2" s="1"/>
  <c r="Q310" i="2" s="1"/>
  <c r="Q311" i="2" s="1"/>
  <c r="Q312" i="2" s="1"/>
  <c r="Q313" i="2" s="1"/>
  <c r="Q314" i="2" s="1"/>
  <c r="Q315" i="2" s="1"/>
  <c r="Q316" i="2" s="1"/>
  <c r="Q317" i="2" s="1"/>
  <c r="Q318" i="2" s="1"/>
  <c r="Q319" i="2" s="1"/>
  <c r="Q320" i="2" s="1"/>
  <c r="Q321" i="2" s="1"/>
  <c r="Q322" i="2" s="1"/>
  <c r="Q323" i="2" s="1"/>
  <c r="Q324" i="2" s="1"/>
  <c r="Q325" i="2" s="1"/>
  <c r="Q326" i="2" s="1"/>
  <c r="Q327" i="2" s="1"/>
  <c r="Q328" i="2" s="1"/>
  <c r="Q329" i="2" s="1"/>
  <c r="Q330" i="2" s="1"/>
  <c r="Q331" i="2" s="1"/>
  <c r="Q332" i="2" s="1"/>
  <c r="Q333" i="2" s="1"/>
  <c r="Q334" i="2" s="1"/>
  <c r="Q335" i="2" s="1"/>
  <c r="Q336" i="2" s="1"/>
  <c r="Q337" i="2" s="1"/>
  <c r="Q338" i="2" s="1"/>
  <c r="Q339" i="2" s="1"/>
  <c r="Q340" i="2" s="1"/>
  <c r="Q341" i="2" s="1"/>
  <c r="Q342" i="2" s="1"/>
  <c r="Q343" i="2" s="1"/>
  <c r="Q344" i="2" s="1"/>
  <c r="Q345" i="2" s="1"/>
  <c r="Q346" i="2" s="1"/>
  <c r="Q347" i="2" s="1"/>
  <c r="Q348" i="2" s="1"/>
  <c r="Q349" i="2" s="1"/>
  <c r="Q350" i="2" s="1"/>
  <c r="Q351" i="2" s="1"/>
  <c r="Q352" i="2" s="1"/>
  <c r="Q353" i="2" s="1"/>
  <c r="Q354" i="2" s="1"/>
  <c r="Q355" i="2" s="1"/>
  <c r="Q356" i="2" s="1"/>
  <c r="Q357" i="2" s="1"/>
  <c r="Q358" i="2" s="1"/>
  <c r="Q359" i="2" s="1"/>
  <c r="Q360" i="2" s="1"/>
  <c r="Q361" i="2" s="1"/>
  <c r="Q362" i="2" s="1"/>
  <c r="Q363" i="2" s="1"/>
  <c r="Q364" i="2" s="1"/>
  <c r="Q365" i="2" s="1"/>
  <c r="Q366" i="2" s="1"/>
  <c r="Q367" i="2" s="1"/>
  <c r="Q368" i="2" s="1"/>
  <c r="Q369" i="2" s="1"/>
  <c r="Q370" i="2" s="1"/>
  <c r="Q371" i="2" s="1"/>
  <c r="Q372" i="2" s="1"/>
  <c r="Q373" i="2" s="1"/>
  <c r="Q374" i="2" s="1"/>
  <c r="Q375" i="2" s="1"/>
  <c r="Q376" i="2" s="1"/>
  <c r="Q377" i="2" s="1"/>
  <c r="AK17" i="2"/>
  <c r="Z17" i="2"/>
  <c r="L17" i="2"/>
  <c r="AR16" i="2"/>
  <c r="A13" i="2"/>
  <c r="J10" i="2"/>
  <c r="A10" i="2"/>
  <c r="J7" i="2"/>
  <c r="P6" i="2"/>
  <c r="AT40" i="2" s="1"/>
  <c r="J6" i="2"/>
  <c r="J5" i="2"/>
  <c r="E5" i="2"/>
  <c r="A45" i="2" s="1"/>
  <c r="J3" i="2"/>
  <c r="M362" i="1"/>
  <c r="H362" i="1"/>
  <c r="J362" i="1" s="1"/>
  <c r="M361" i="1"/>
  <c r="H361" i="1"/>
  <c r="J361" i="1" s="1"/>
  <c r="M360" i="1"/>
  <c r="H360" i="1"/>
  <c r="M359" i="1"/>
  <c r="H359" i="1"/>
  <c r="J359" i="1" s="1"/>
  <c r="M358" i="1"/>
  <c r="H358" i="1"/>
  <c r="M357" i="1"/>
  <c r="H357" i="1"/>
  <c r="J357" i="1" s="1"/>
  <c r="M356" i="1"/>
  <c r="H356" i="1"/>
  <c r="J356" i="1" s="1"/>
  <c r="M355" i="1"/>
  <c r="H355" i="1"/>
  <c r="M354" i="1"/>
  <c r="H354" i="1"/>
  <c r="J354" i="1" s="1"/>
  <c r="M353" i="1"/>
  <c r="H353" i="1"/>
  <c r="J353" i="1" s="1"/>
  <c r="M352" i="1"/>
  <c r="H352" i="1"/>
  <c r="J352" i="1" s="1"/>
  <c r="M351" i="1"/>
  <c r="H351" i="1"/>
  <c r="J351" i="1" s="1"/>
  <c r="M350" i="1"/>
  <c r="H350" i="1"/>
  <c r="J350" i="1" s="1"/>
  <c r="M349" i="1"/>
  <c r="H349" i="1"/>
  <c r="J349" i="1" s="1"/>
  <c r="M348" i="1"/>
  <c r="H348" i="1"/>
  <c r="J348" i="1" s="1"/>
  <c r="M347" i="1"/>
  <c r="H347" i="1"/>
  <c r="M346" i="1"/>
  <c r="H346" i="1"/>
  <c r="J346" i="1" s="1"/>
  <c r="M345" i="1"/>
  <c r="H345" i="1"/>
  <c r="J345" i="1" s="1"/>
  <c r="M344" i="1"/>
  <c r="H344" i="1"/>
  <c r="M343" i="1"/>
  <c r="H343" i="1"/>
  <c r="J343" i="1" s="1"/>
  <c r="M342" i="1"/>
  <c r="H342" i="1"/>
  <c r="J342" i="1" s="1"/>
  <c r="M341" i="1"/>
  <c r="H341" i="1"/>
  <c r="J341" i="1" s="1"/>
  <c r="M340" i="1"/>
  <c r="H340" i="1"/>
  <c r="J340" i="1" s="1"/>
  <c r="M339" i="1"/>
  <c r="H339" i="1"/>
  <c r="J339" i="1" s="1"/>
  <c r="M338" i="1"/>
  <c r="H338" i="1"/>
  <c r="J338" i="1" s="1"/>
  <c r="M337" i="1"/>
  <c r="H337" i="1"/>
  <c r="J337" i="1" s="1"/>
  <c r="M336" i="1"/>
  <c r="H336" i="1"/>
  <c r="M335" i="1"/>
  <c r="H335" i="1"/>
  <c r="J335" i="1" s="1"/>
  <c r="M334" i="1"/>
  <c r="H334" i="1"/>
  <c r="J334" i="1" s="1"/>
  <c r="M333" i="1"/>
  <c r="H333" i="1"/>
  <c r="J333" i="1" s="1"/>
  <c r="M332" i="1"/>
  <c r="H332" i="1"/>
  <c r="J332" i="1" s="1"/>
  <c r="M331" i="1"/>
  <c r="H331" i="1"/>
  <c r="J331" i="1" s="1"/>
  <c r="M330" i="1"/>
  <c r="H330" i="1"/>
  <c r="J330" i="1" s="1"/>
  <c r="M329" i="1"/>
  <c r="H329" i="1"/>
  <c r="J329" i="1" s="1"/>
  <c r="M328" i="1"/>
  <c r="H328" i="1"/>
  <c r="J328" i="1" s="1"/>
  <c r="M327" i="1"/>
  <c r="H327" i="1"/>
  <c r="J327" i="1" s="1"/>
  <c r="M326" i="1"/>
  <c r="H326" i="1"/>
  <c r="M325" i="1"/>
  <c r="H325" i="1"/>
  <c r="J325" i="1" s="1"/>
  <c r="M324" i="1"/>
  <c r="H324" i="1"/>
  <c r="J324" i="1" s="1"/>
  <c r="M323" i="1"/>
  <c r="H323" i="1"/>
  <c r="J323" i="1" s="1"/>
  <c r="M322" i="1"/>
  <c r="H322" i="1"/>
  <c r="J322" i="1" s="1"/>
  <c r="M321" i="1"/>
  <c r="H321" i="1"/>
  <c r="J321" i="1" s="1"/>
  <c r="M320" i="1"/>
  <c r="H320" i="1"/>
  <c r="J320" i="1" s="1"/>
  <c r="M319" i="1"/>
  <c r="H319" i="1"/>
  <c r="J319" i="1" s="1"/>
  <c r="M318" i="1"/>
  <c r="H318" i="1"/>
  <c r="J318" i="1" s="1"/>
  <c r="M317" i="1"/>
  <c r="H317" i="1"/>
  <c r="J317" i="1" s="1"/>
  <c r="M316" i="1"/>
  <c r="H316" i="1"/>
  <c r="J316" i="1" s="1"/>
  <c r="M315" i="1"/>
  <c r="H315" i="1"/>
  <c r="M314" i="1"/>
  <c r="H314" i="1"/>
  <c r="M313" i="1"/>
  <c r="H313" i="1"/>
  <c r="M312" i="1"/>
  <c r="H312" i="1"/>
  <c r="M311" i="1"/>
  <c r="H311" i="1"/>
  <c r="M310" i="1"/>
  <c r="H310" i="1"/>
  <c r="M309" i="1"/>
  <c r="H309" i="1"/>
  <c r="M308" i="1"/>
  <c r="H308" i="1"/>
  <c r="M307" i="1"/>
  <c r="H307" i="1"/>
  <c r="M306" i="1"/>
  <c r="H306" i="1"/>
  <c r="M305" i="1"/>
  <c r="H305" i="1"/>
  <c r="M304" i="1"/>
  <c r="H304" i="1"/>
  <c r="M303" i="1"/>
  <c r="H303" i="1"/>
  <c r="M302" i="1"/>
  <c r="H298" i="1"/>
  <c r="H294" i="1"/>
  <c r="H291" i="1"/>
  <c r="H290" i="1"/>
  <c r="H288" i="1"/>
  <c r="H282" i="1"/>
  <c r="H278" i="1"/>
  <c r="H275" i="1"/>
  <c r="H274" i="1"/>
  <c r="H272" i="1"/>
  <c r="H266" i="1"/>
  <c r="H262" i="1"/>
  <c r="H259" i="1"/>
  <c r="H258" i="1"/>
  <c r="H256" i="1"/>
  <c r="H250" i="1"/>
  <c r="H246" i="1"/>
  <c r="H243" i="1"/>
  <c r="B6" i="1"/>
  <c r="H242" i="1" s="1"/>
  <c r="A6" i="1"/>
  <c r="AU66" i="2"/>
  <c r="AU54" i="2"/>
  <c r="AU30" i="2"/>
  <c r="AE32" i="2"/>
  <c r="AE47" i="2"/>
  <c r="AU42" i="2"/>
  <c r="AE51" i="2"/>
  <c r="AE70" i="2"/>
  <c r="AE61" i="2"/>
  <c r="AE65" i="2"/>
  <c r="AE24" i="2"/>
  <c r="AU34" i="2"/>
  <c r="AE44" i="2"/>
  <c r="AU40" i="2"/>
  <c r="AE74" i="2"/>
  <c r="AE66" i="2"/>
  <c r="AE28" i="2"/>
  <c r="AU74" i="2"/>
  <c r="AU60" i="2"/>
  <c r="AE38" i="2"/>
  <c r="H18" i="2"/>
  <c r="AE156" i="2"/>
  <c r="AE36" i="2"/>
  <c r="D19" i="2"/>
  <c r="AE39" i="2"/>
  <c r="AE40" i="2"/>
  <c r="AE26" i="2"/>
  <c r="AU26" i="2"/>
  <c r="AE106" i="2"/>
  <c r="AE34" i="2"/>
  <c r="AU18" i="2"/>
  <c r="AE49" i="2"/>
  <c r="AO16" i="2" l="1"/>
  <c r="AL16" i="2"/>
  <c r="AN16" i="2"/>
  <c r="H79" i="1"/>
  <c r="H159" i="1"/>
  <c r="H175" i="1"/>
  <c r="H31" i="1"/>
  <c r="H207" i="1"/>
  <c r="H47" i="1"/>
  <c r="H127" i="1"/>
  <c r="H56" i="1"/>
  <c r="H143" i="1"/>
  <c r="H223" i="1"/>
  <c r="H63" i="1"/>
  <c r="H152" i="1"/>
  <c r="H239" i="1"/>
  <c r="H88" i="1"/>
  <c r="H11" i="1"/>
  <c r="H95" i="1"/>
  <c r="H184" i="1"/>
  <c r="H24" i="1"/>
  <c r="H111" i="1"/>
  <c r="H191" i="1"/>
  <c r="H120" i="1"/>
  <c r="H216" i="1"/>
  <c r="H10" i="1"/>
  <c r="H40" i="1"/>
  <c r="H72" i="1"/>
  <c r="H104" i="1"/>
  <c r="H136" i="1"/>
  <c r="H168" i="1"/>
  <c r="H200" i="1"/>
  <c r="H232" i="1"/>
  <c r="H248" i="1"/>
  <c r="H251" i="1"/>
  <c r="H254" i="1"/>
  <c r="H264" i="1"/>
  <c r="H267" i="1"/>
  <c r="H270" i="1"/>
  <c r="H280" i="1"/>
  <c r="H283" i="1"/>
  <c r="H286" i="1"/>
  <c r="H296" i="1"/>
  <c r="H299" i="1"/>
  <c r="H302" i="1"/>
  <c r="A46" i="2"/>
  <c r="H22" i="1"/>
  <c r="H48" i="1"/>
  <c r="H80" i="1"/>
  <c r="H112" i="1"/>
  <c r="H144" i="1"/>
  <c r="H176" i="1"/>
  <c r="H208" i="1"/>
  <c r="H240" i="1"/>
  <c r="H245" i="1"/>
  <c r="H249" i="1"/>
  <c r="H255" i="1"/>
  <c r="H261" i="1"/>
  <c r="H265" i="1"/>
  <c r="H271" i="1"/>
  <c r="H277" i="1"/>
  <c r="H281" i="1"/>
  <c r="H287" i="1"/>
  <c r="H293" i="1"/>
  <c r="H297" i="1"/>
  <c r="H23" i="1"/>
  <c r="H55" i="1"/>
  <c r="H87" i="1"/>
  <c r="H119" i="1"/>
  <c r="H151" i="1"/>
  <c r="H183" i="1"/>
  <c r="H215" i="1"/>
  <c r="H252" i="1"/>
  <c r="H268" i="1"/>
  <c r="H284" i="1"/>
  <c r="H300" i="1"/>
  <c r="H32" i="1"/>
  <c r="H64" i="1"/>
  <c r="H96" i="1"/>
  <c r="H128" i="1"/>
  <c r="H160" i="1"/>
  <c r="H192" i="1"/>
  <c r="H224" i="1"/>
  <c r="H247" i="1"/>
  <c r="H253" i="1"/>
  <c r="H257" i="1"/>
  <c r="H263" i="1"/>
  <c r="H269" i="1"/>
  <c r="H273" i="1"/>
  <c r="H279" i="1"/>
  <c r="H285" i="1"/>
  <c r="H289" i="1"/>
  <c r="H295" i="1"/>
  <c r="H301" i="1"/>
  <c r="H9" i="1"/>
  <c r="H39" i="1"/>
  <c r="H71" i="1"/>
  <c r="H103" i="1"/>
  <c r="H135" i="1"/>
  <c r="H167" i="1"/>
  <c r="H199" i="1"/>
  <c r="H231" i="1"/>
  <c r="H244" i="1"/>
  <c r="H260" i="1"/>
  <c r="H276" i="1"/>
  <c r="H292" i="1"/>
  <c r="J347" i="1"/>
  <c r="J326" i="1"/>
  <c r="J315" i="1"/>
  <c r="J344" i="1"/>
  <c r="H3" i="1"/>
  <c r="H12" i="1"/>
  <c r="H25" i="1"/>
  <c r="H33" i="1"/>
  <c r="H41" i="1"/>
  <c r="H49" i="1"/>
  <c r="H57" i="1"/>
  <c r="H65" i="1"/>
  <c r="H73" i="1"/>
  <c r="H81" i="1"/>
  <c r="H89" i="1"/>
  <c r="H97" i="1"/>
  <c r="H105" i="1"/>
  <c r="H113" i="1"/>
  <c r="H121" i="1"/>
  <c r="H129" i="1"/>
  <c r="H137" i="1"/>
  <c r="H145" i="1"/>
  <c r="H153" i="1"/>
  <c r="H161" i="1"/>
  <c r="H169" i="1"/>
  <c r="H177" i="1"/>
  <c r="H185" i="1"/>
  <c r="H193" i="1"/>
  <c r="H201" i="1"/>
  <c r="H209" i="1"/>
  <c r="H217" i="1"/>
  <c r="H225" i="1"/>
  <c r="H233" i="1"/>
  <c r="H241" i="1"/>
  <c r="A48" i="2"/>
  <c r="A130" i="2"/>
  <c r="H30" i="1"/>
  <c r="H38" i="1"/>
  <c r="H46" i="1"/>
  <c r="H54" i="1"/>
  <c r="H62" i="1"/>
  <c r="H70" i="1"/>
  <c r="H78" i="1"/>
  <c r="H86" i="1"/>
  <c r="H94" i="1"/>
  <c r="H102" i="1"/>
  <c r="H110" i="1"/>
  <c r="H118" i="1"/>
  <c r="H126" i="1"/>
  <c r="H134" i="1"/>
  <c r="H142" i="1"/>
  <c r="H150" i="1"/>
  <c r="H158" i="1"/>
  <c r="H166" i="1"/>
  <c r="H174" i="1"/>
  <c r="H182" i="1"/>
  <c r="H190" i="1"/>
  <c r="H198" i="1"/>
  <c r="H206" i="1"/>
  <c r="H214" i="1"/>
  <c r="H222" i="1"/>
  <c r="H230" i="1"/>
  <c r="H238" i="1"/>
  <c r="J360" i="1"/>
  <c r="W18" i="2"/>
  <c r="H8" i="1"/>
  <c r="H18" i="1"/>
  <c r="H19" i="1"/>
  <c r="H20" i="1"/>
  <c r="H21" i="1"/>
  <c r="H29" i="1"/>
  <c r="H37" i="1"/>
  <c r="H45" i="1"/>
  <c r="H53" i="1"/>
  <c r="H61" i="1"/>
  <c r="H69" i="1"/>
  <c r="H77" i="1"/>
  <c r="H85" i="1"/>
  <c r="H93" i="1"/>
  <c r="H101" i="1"/>
  <c r="H109" i="1"/>
  <c r="H117" i="1"/>
  <c r="H125" i="1"/>
  <c r="H133" i="1"/>
  <c r="H141" i="1"/>
  <c r="H149" i="1"/>
  <c r="H157" i="1"/>
  <c r="H165" i="1"/>
  <c r="H173" i="1"/>
  <c r="H181" i="1"/>
  <c r="H189" i="1"/>
  <c r="H197" i="1"/>
  <c r="H205" i="1"/>
  <c r="H213" i="1"/>
  <c r="H221" i="1"/>
  <c r="H229" i="1"/>
  <c r="H237" i="1"/>
  <c r="H5" i="1"/>
  <c r="H7" i="1"/>
  <c r="H17" i="1"/>
  <c r="H28" i="1"/>
  <c r="H36" i="1"/>
  <c r="H44" i="1"/>
  <c r="H52" i="1"/>
  <c r="H60" i="1"/>
  <c r="H68" i="1"/>
  <c r="H76" i="1"/>
  <c r="H84" i="1"/>
  <c r="H92" i="1"/>
  <c r="H100" i="1"/>
  <c r="H108" i="1"/>
  <c r="H116" i="1"/>
  <c r="H124" i="1"/>
  <c r="H132" i="1"/>
  <c r="H140" i="1"/>
  <c r="H148" i="1"/>
  <c r="H156" i="1"/>
  <c r="H164" i="1"/>
  <c r="H172" i="1"/>
  <c r="H180" i="1"/>
  <c r="H188" i="1"/>
  <c r="H196" i="1"/>
  <c r="H204" i="1"/>
  <c r="H212" i="1"/>
  <c r="H220" i="1"/>
  <c r="H228" i="1"/>
  <c r="H236" i="1"/>
  <c r="J336" i="1"/>
  <c r="AT35" i="2"/>
  <c r="H4" i="1"/>
  <c r="H6" i="1"/>
  <c r="H16" i="1"/>
  <c r="H27" i="1"/>
  <c r="H35" i="1"/>
  <c r="H43" i="1"/>
  <c r="H51" i="1"/>
  <c r="H59" i="1"/>
  <c r="H67" i="1"/>
  <c r="H75" i="1"/>
  <c r="H83" i="1"/>
  <c r="H91" i="1"/>
  <c r="H99" i="1"/>
  <c r="H107" i="1"/>
  <c r="H115" i="1"/>
  <c r="H123" i="1"/>
  <c r="H131" i="1"/>
  <c r="H139" i="1"/>
  <c r="H147" i="1"/>
  <c r="H155" i="1"/>
  <c r="H163" i="1"/>
  <c r="H171" i="1"/>
  <c r="H179" i="1"/>
  <c r="H187" i="1"/>
  <c r="H195" i="1"/>
  <c r="H203" i="1"/>
  <c r="H211" i="1"/>
  <c r="H219" i="1"/>
  <c r="H227" i="1"/>
  <c r="H235" i="1"/>
  <c r="J355" i="1"/>
  <c r="AT25" i="2"/>
  <c r="AT31" i="2"/>
  <c r="AT37" i="2" s="1"/>
  <c r="M3" i="1"/>
  <c r="H13" i="1"/>
  <c r="H14" i="1"/>
  <c r="H15" i="1"/>
  <c r="M273" i="1" s="1"/>
  <c r="H26" i="1"/>
  <c r="H34" i="1"/>
  <c r="H42" i="1"/>
  <c r="H50" i="1"/>
  <c r="H58" i="1"/>
  <c r="H66" i="1"/>
  <c r="H74" i="1"/>
  <c r="H82" i="1"/>
  <c r="H90" i="1"/>
  <c r="H98" i="1"/>
  <c r="H106" i="1"/>
  <c r="H114" i="1"/>
  <c r="H122" i="1"/>
  <c r="H130" i="1"/>
  <c r="H138" i="1"/>
  <c r="H146" i="1"/>
  <c r="H154" i="1"/>
  <c r="H162" i="1"/>
  <c r="H170" i="1"/>
  <c r="H178" i="1"/>
  <c r="H186" i="1"/>
  <c r="H194" i="1"/>
  <c r="H202" i="1"/>
  <c r="H210" i="1"/>
  <c r="H218" i="1"/>
  <c r="H226" i="1"/>
  <c r="H234" i="1"/>
  <c r="A376" i="2"/>
  <c r="A372" i="2"/>
  <c r="A368" i="2"/>
  <c r="A364" i="2"/>
  <c r="A375" i="2"/>
  <c r="A371" i="2"/>
  <c r="A367" i="2"/>
  <c r="A363" i="2"/>
  <c r="A374" i="2"/>
  <c r="A370" i="2"/>
  <c r="A359" i="2"/>
  <c r="A377" i="2"/>
  <c r="A373" i="2"/>
  <c r="A362" i="2"/>
  <c r="A361" i="2"/>
  <c r="A366" i="2"/>
  <c r="A365" i="2"/>
  <c r="A356" i="2"/>
  <c r="A355" i="2"/>
  <c r="A351" i="2"/>
  <c r="A369" i="2"/>
  <c r="A354" i="2"/>
  <c r="A350" i="2"/>
  <c r="A360" i="2"/>
  <c r="A358" i="2"/>
  <c r="A357" i="2"/>
  <c r="A353" i="2"/>
  <c r="A349" i="2"/>
  <c r="A348" i="2"/>
  <c r="A347" i="2"/>
  <c r="A345" i="2"/>
  <c r="A341" i="2"/>
  <c r="A337" i="2"/>
  <c r="A344" i="2"/>
  <c r="A340" i="2"/>
  <c r="A343" i="2"/>
  <c r="A339" i="2"/>
  <c r="A335" i="2"/>
  <c r="A331" i="2"/>
  <c r="A327" i="2"/>
  <c r="A336" i="2"/>
  <c r="A334" i="2"/>
  <c r="A330" i="2"/>
  <c r="A326" i="2"/>
  <c r="A342" i="2"/>
  <c r="A352" i="2"/>
  <c r="A346" i="2"/>
  <c r="A329" i="2"/>
  <c r="A325" i="2"/>
  <c r="A324" i="2"/>
  <c r="A320" i="2"/>
  <c r="A316" i="2"/>
  <c r="A328" i="2"/>
  <c r="A338" i="2"/>
  <c r="A323" i="2"/>
  <c r="A319" i="2"/>
  <c r="A333" i="2"/>
  <c r="A332" i="2"/>
  <c r="A321" i="2"/>
  <c r="A317" i="2"/>
  <c r="A313" i="2"/>
  <c r="A309" i="2"/>
  <c r="A305" i="2"/>
  <c r="A301" i="2"/>
  <c r="A297" i="2"/>
  <c r="A293" i="2"/>
  <c r="A289" i="2"/>
  <c r="A312" i="2"/>
  <c r="A308" i="2"/>
  <c r="A304" i="2"/>
  <c r="A300" i="2"/>
  <c r="A296" i="2"/>
  <c r="A292" i="2"/>
  <c r="A315" i="2"/>
  <c r="A311" i="2"/>
  <c r="A307" i="2"/>
  <c r="A303" i="2"/>
  <c r="A299" i="2"/>
  <c r="A295" i="2"/>
  <c r="A291" i="2"/>
  <c r="A318" i="2"/>
  <c r="A310" i="2"/>
  <c r="A294" i="2"/>
  <c r="A287" i="2"/>
  <c r="A283" i="2"/>
  <c r="A279" i="2"/>
  <c r="A275" i="2"/>
  <c r="A271" i="2"/>
  <c r="A267" i="2"/>
  <c r="A306" i="2"/>
  <c r="A286" i="2"/>
  <c r="A282" i="2"/>
  <c r="A302" i="2"/>
  <c r="A285" i="2"/>
  <c r="A322" i="2"/>
  <c r="A314" i="2"/>
  <c r="A298" i="2"/>
  <c r="A288" i="2"/>
  <c r="A284" i="2"/>
  <c r="A280" i="2"/>
  <c r="A276" i="2"/>
  <c r="A272" i="2"/>
  <c r="A268" i="2"/>
  <c r="A278" i="2"/>
  <c r="A274" i="2"/>
  <c r="A273" i="2"/>
  <c r="A290" i="2"/>
  <c r="A263" i="2"/>
  <c r="A281" i="2"/>
  <c r="A266" i="2"/>
  <c r="A265" i="2"/>
  <c r="A270" i="2"/>
  <c r="A269" i="2"/>
  <c r="A264" i="2"/>
  <c r="A261" i="2"/>
  <c r="A258" i="2"/>
  <c r="A254" i="2"/>
  <c r="A250" i="2"/>
  <c r="A246" i="2"/>
  <c r="A242" i="2"/>
  <c r="A238" i="2"/>
  <c r="A234" i="2"/>
  <c r="A262" i="2"/>
  <c r="A257" i="2"/>
  <c r="A253" i="2"/>
  <c r="A249" i="2"/>
  <c r="A245" i="2"/>
  <c r="A241" i="2"/>
  <c r="A237" i="2"/>
  <c r="A260" i="2"/>
  <c r="A256" i="2"/>
  <c r="A252" i="2"/>
  <c r="A248" i="2"/>
  <c r="A244" i="2"/>
  <c r="A240" i="2"/>
  <c r="A236" i="2"/>
  <c r="A277" i="2"/>
  <c r="A232" i="2"/>
  <c r="A228" i="2"/>
  <c r="A224" i="2"/>
  <c r="A220" i="2"/>
  <c r="A216" i="2"/>
  <c r="A247" i="2"/>
  <c r="A243" i="2"/>
  <c r="A235" i="2"/>
  <c r="A231" i="2"/>
  <c r="A227" i="2"/>
  <c r="A223" i="2"/>
  <c r="A219" i="2"/>
  <c r="A215" i="2"/>
  <c r="A211" i="2"/>
  <c r="A259" i="2"/>
  <c r="A230" i="2"/>
  <c r="A226" i="2"/>
  <c r="A222" i="2"/>
  <c r="A218" i="2"/>
  <c r="A214" i="2"/>
  <c r="A255" i="2"/>
  <c r="A239" i="2"/>
  <c r="A213" i="2"/>
  <c r="A217" i="2"/>
  <c r="A210" i="2"/>
  <c r="A206" i="2"/>
  <c r="A202" i="2"/>
  <c r="A198" i="2"/>
  <c r="A194" i="2"/>
  <c r="A190" i="2"/>
  <c r="A233" i="2"/>
  <c r="A221" i="2"/>
  <c r="A212" i="2"/>
  <c r="A251" i="2"/>
  <c r="A225" i="2"/>
  <c r="A209" i="2"/>
  <c r="A205" i="2"/>
  <c r="A201" i="2"/>
  <c r="A197" i="2"/>
  <c r="A193" i="2"/>
  <c r="A229" i="2"/>
  <c r="A207" i="2"/>
  <c r="A203" i="2"/>
  <c r="A199" i="2"/>
  <c r="A195" i="2"/>
  <c r="A191" i="2"/>
  <c r="A196" i="2"/>
  <c r="A187" i="2"/>
  <c r="A183" i="2"/>
  <c r="A179" i="2"/>
  <c r="A175" i="2"/>
  <c r="A171" i="2"/>
  <c r="A167" i="2"/>
  <c r="A208" i="2"/>
  <c r="A186" i="2"/>
  <c r="A182" i="2"/>
  <c r="A178" i="2"/>
  <c r="A174" i="2"/>
  <c r="A170" i="2"/>
  <c r="A166" i="2"/>
  <c r="A189" i="2"/>
  <c r="A188" i="2"/>
  <c r="A177" i="2"/>
  <c r="A180" i="2"/>
  <c r="A163" i="2"/>
  <c r="A161" i="2"/>
  <c r="A157" i="2"/>
  <c r="A153" i="2"/>
  <c r="A149" i="2"/>
  <c r="A145" i="2"/>
  <c r="A141" i="2"/>
  <c r="A137" i="2"/>
  <c r="A133" i="2"/>
  <c r="A129" i="2"/>
  <c r="A125" i="2"/>
  <c r="A121" i="2"/>
  <c r="A117" i="2"/>
  <c r="A204" i="2"/>
  <c r="A173" i="2"/>
  <c r="A176" i="2"/>
  <c r="A165" i="2"/>
  <c r="A160" i="2"/>
  <c r="A156" i="2"/>
  <c r="A152" i="2"/>
  <c r="A148" i="2"/>
  <c r="A144" i="2"/>
  <c r="A140" i="2"/>
  <c r="A136" i="2"/>
  <c r="A132" i="2"/>
  <c r="A128" i="2"/>
  <c r="A124" i="2"/>
  <c r="A120" i="2"/>
  <c r="A116" i="2"/>
  <c r="A112" i="2"/>
  <c r="A185" i="2"/>
  <c r="A169" i="2"/>
  <c r="A164" i="2"/>
  <c r="A200" i="2"/>
  <c r="A172" i="2"/>
  <c r="A159" i="2"/>
  <c r="A155" i="2"/>
  <c r="A151" i="2"/>
  <c r="A147" i="2"/>
  <c r="A143" i="2"/>
  <c r="A139" i="2"/>
  <c r="A135" i="2"/>
  <c r="A131" i="2"/>
  <c r="A127" i="2"/>
  <c r="A123" i="2"/>
  <c r="A119" i="2"/>
  <c r="A115" i="2"/>
  <c r="A111" i="2"/>
  <c r="A192" i="2"/>
  <c r="A181" i="2"/>
  <c r="A168" i="2"/>
  <c r="A142" i="2"/>
  <c r="A126" i="2"/>
  <c r="A95" i="2"/>
  <c r="A87" i="2"/>
  <c r="A79" i="2"/>
  <c r="A71" i="2"/>
  <c r="A66" i="2"/>
  <c r="A158" i="2"/>
  <c r="A106" i="2"/>
  <c r="A102" i="2"/>
  <c r="A98" i="2"/>
  <c r="A92" i="2"/>
  <c r="A84" i="2"/>
  <c r="A76" i="2"/>
  <c r="A68" i="2"/>
  <c r="A154" i="2"/>
  <c r="A138" i="2"/>
  <c r="A122" i="2"/>
  <c r="A89" i="2"/>
  <c r="A81" i="2"/>
  <c r="A73" i="2"/>
  <c r="A184" i="2"/>
  <c r="A105" i="2"/>
  <c r="A101" i="2"/>
  <c r="A97" i="2"/>
  <c r="A94" i="2"/>
  <c r="A86" i="2"/>
  <c r="A78" i="2"/>
  <c r="A162" i="2"/>
  <c r="A150" i="2"/>
  <c r="A134" i="2"/>
  <c r="A118" i="2"/>
  <c r="A91" i="2"/>
  <c r="A83" i="2"/>
  <c r="A75" i="2"/>
  <c r="A65" i="2"/>
  <c r="A113" i="2"/>
  <c r="A108" i="2"/>
  <c r="A104" i="2"/>
  <c r="A110" i="2"/>
  <c r="A109" i="2"/>
  <c r="A107" i="2"/>
  <c r="A103" i="2"/>
  <c r="A99" i="2"/>
  <c r="A90" i="2"/>
  <c r="A82" i="2"/>
  <c r="A74" i="2"/>
  <c r="A64" i="2"/>
  <c r="A63" i="2"/>
  <c r="A49" i="2"/>
  <c r="A22" i="2"/>
  <c r="A20" i="2"/>
  <c r="A146" i="2"/>
  <c r="A96" i="2"/>
  <c r="A62" i="2"/>
  <c r="A59" i="2"/>
  <c r="A57" i="2"/>
  <c r="A55" i="2"/>
  <c r="A53" i="2"/>
  <c r="A51" i="2"/>
  <c r="A42" i="2"/>
  <c r="A40" i="2"/>
  <c r="A38" i="2"/>
  <c r="A36" i="2"/>
  <c r="A34" i="2"/>
  <c r="A32" i="2"/>
  <c r="A30" i="2"/>
  <c r="A28" i="2"/>
  <c r="A26" i="2"/>
  <c r="A24" i="2"/>
  <c r="A88" i="2"/>
  <c r="A72" i="2"/>
  <c r="A70" i="2"/>
  <c r="A44" i="2"/>
  <c r="A114" i="2"/>
  <c r="A93" i="2"/>
  <c r="A80" i="2"/>
  <c r="A85" i="2"/>
  <c r="A69" i="2"/>
  <c r="A50" i="2"/>
  <c r="A23" i="2"/>
  <c r="A21" i="2"/>
  <c r="A18" i="2"/>
  <c r="A77" i="2"/>
  <c r="A67" i="2"/>
  <c r="A61" i="2"/>
  <c r="A60" i="2"/>
  <c r="A58" i="2"/>
  <c r="A56" i="2"/>
  <c r="A54" i="2"/>
  <c r="A52" i="2"/>
  <c r="A43" i="2"/>
  <c r="A41" i="2"/>
  <c r="A39" i="2"/>
  <c r="A37" i="2"/>
  <c r="A35" i="2"/>
  <c r="A33" i="2"/>
  <c r="A31" i="2"/>
  <c r="A29" i="2"/>
  <c r="A27" i="2"/>
  <c r="A25" i="2"/>
  <c r="A19" i="2"/>
  <c r="A100" i="2"/>
  <c r="AT51" i="2"/>
  <c r="A47" i="2"/>
  <c r="AT49" i="2"/>
  <c r="J358" i="1"/>
  <c r="AT34" i="2"/>
  <c r="AT36" i="2"/>
  <c r="AT38" i="2"/>
  <c r="AT21" i="2"/>
  <c r="AE180" i="2"/>
  <c r="AE149" i="2"/>
  <c r="AE286" i="2"/>
  <c r="AE303" i="2"/>
  <c r="AE228" i="2"/>
  <c r="AE157" i="2"/>
  <c r="AU24" i="2"/>
  <c r="AE236" i="2"/>
  <c r="AE133" i="2"/>
  <c r="AE328" i="2"/>
  <c r="AE254" i="2"/>
  <c r="AE299" i="2"/>
  <c r="AE45" i="2"/>
  <c r="AE230" i="2"/>
  <c r="AE109" i="2"/>
  <c r="AE141" i="2"/>
  <c r="AE251" i="2"/>
  <c r="AE305" i="2"/>
  <c r="AU80" i="2"/>
  <c r="AE150" i="2"/>
  <c r="AE148" i="2"/>
  <c r="AE76" i="2"/>
  <c r="AE335" i="2"/>
  <c r="AE260" i="2"/>
  <c r="AE281" i="2"/>
  <c r="AE306" i="2"/>
  <c r="AU52" i="2"/>
  <c r="AU50" i="2"/>
  <c r="AE25" i="2"/>
  <c r="AE252" i="2"/>
  <c r="AE330" i="2"/>
  <c r="AE59" i="2"/>
  <c r="AE97" i="2"/>
  <c r="AE288" i="2"/>
  <c r="AE21" i="2"/>
  <c r="AE280" i="2"/>
  <c r="AE87" i="2"/>
  <c r="AU44" i="2"/>
  <c r="AE176" i="2"/>
  <c r="AE146" i="2"/>
  <c r="AE353" i="2"/>
  <c r="AU58" i="2"/>
  <c r="AU78" i="2"/>
  <c r="AE152" i="2"/>
  <c r="AE128" i="2"/>
  <c r="AE68" i="2"/>
  <c r="AE88" i="2"/>
  <c r="AE165" i="2"/>
  <c r="AE73" i="2"/>
  <c r="AE184" i="2"/>
  <c r="AE69" i="2"/>
  <c r="AE226" i="2"/>
  <c r="AU88" i="2"/>
  <c r="AE310" i="2"/>
  <c r="AE18" i="2"/>
  <c r="AU90" i="2"/>
  <c r="AE207" i="2"/>
  <c r="AE105" i="2"/>
  <c r="AE177" i="2"/>
  <c r="AE86" i="2"/>
  <c r="AE54" i="2"/>
  <c r="AU62" i="2"/>
  <c r="AE322" i="2"/>
  <c r="AE167" i="2"/>
  <c r="AE107" i="2"/>
  <c r="AE134" i="2"/>
  <c r="AE214" i="2"/>
  <c r="AE186" i="2"/>
  <c r="AE331" i="2"/>
  <c r="AE173" i="2"/>
  <c r="AE364" i="2"/>
  <c r="AE53" i="2"/>
  <c r="AE233" i="2"/>
  <c r="AE114" i="2"/>
  <c r="AE30" i="2"/>
  <c r="AE307" i="2"/>
  <c r="AE361" i="2"/>
  <c r="AE164" i="2"/>
  <c r="AE218" i="2"/>
  <c r="AE235" i="2"/>
  <c r="AE138" i="2"/>
  <c r="AE23" i="2"/>
  <c r="AE171" i="2"/>
  <c r="AE274" i="2"/>
  <c r="AE33" i="2"/>
  <c r="AE356" i="2"/>
  <c r="AE175" i="2"/>
  <c r="AE367" i="2"/>
  <c r="AI18" i="2"/>
  <c r="AE229" i="2"/>
  <c r="AE22" i="2"/>
  <c r="AE239" i="2"/>
  <c r="AE269" i="2"/>
  <c r="AE227" i="2"/>
  <c r="AU84" i="2"/>
  <c r="AE261" i="2"/>
  <c r="AE363" i="2"/>
  <c r="AE372" i="2"/>
  <c r="AE343" i="2"/>
  <c r="AE284" i="2"/>
  <c r="AE135" i="2"/>
  <c r="AE354" i="2"/>
  <c r="AE324" i="2"/>
  <c r="AE213" i="2"/>
  <c r="AE294" i="2"/>
  <c r="AU68" i="2"/>
  <c r="AE217" i="2"/>
  <c r="J18" i="2"/>
  <c r="AU32" i="2"/>
  <c r="AE323" i="2"/>
  <c r="AE221" i="2"/>
  <c r="AE224" i="2"/>
  <c r="AE174" i="2"/>
  <c r="AE212" i="2"/>
  <c r="AE142" i="2"/>
  <c r="AE220" i="2"/>
  <c r="AE195" i="2"/>
  <c r="AE376" i="2"/>
  <c r="AE244" i="2"/>
  <c r="AE62" i="2"/>
  <c r="AE346" i="2"/>
  <c r="AE264" i="2"/>
  <c r="AE125" i="2"/>
  <c r="AE256" i="2"/>
  <c r="AE203" i="2"/>
  <c r="AU82" i="2"/>
  <c r="AE132" i="2"/>
  <c r="AE120" i="2"/>
  <c r="AE91" i="2"/>
  <c r="AE104" i="2"/>
  <c r="AE201" i="2"/>
  <c r="AE85" i="2"/>
  <c r="AE81" i="2"/>
  <c r="AE352" i="2"/>
  <c r="AE285" i="2"/>
  <c r="AE309" i="2"/>
  <c r="AE223" i="2"/>
  <c r="AE43" i="2"/>
  <c r="AU72" i="2"/>
  <c r="AE55" i="2"/>
  <c r="AE340" i="2"/>
  <c r="AE193" i="2"/>
  <c r="AE100" i="2"/>
  <c r="AU22" i="2"/>
  <c r="AE151" i="2"/>
  <c r="AE211" i="2"/>
  <c r="AE377" i="2"/>
  <c r="AE369" i="2"/>
  <c r="AE293" i="2"/>
  <c r="AU46" i="2"/>
  <c r="AE60" i="2"/>
  <c r="AE358" i="2"/>
  <c r="AE225" i="2"/>
  <c r="AE279" i="2"/>
  <c r="AU76" i="2"/>
  <c r="AE155" i="2"/>
  <c r="AE232" i="2"/>
  <c r="AE154" i="2"/>
  <c r="AE116" i="2"/>
  <c r="AE126" i="2"/>
  <c r="AE137" i="2"/>
  <c r="AE159" i="2"/>
  <c r="AE99" i="2"/>
  <c r="AE190" i="2"/>
  <c r="AE275" i="2"/>
  <c r="AE271" i="2"/>
  <c r="AE56" i="2"/>
  <c r="AE75" i="2"/>
  <c r="AE320" i="2"/>
  <c r="AE255" i="2"/>
  <c r="AU64" i="2"/>
  <c r="AE327" i="2"/>
  <c r="AE347" i="2"/>
  <c r="AU48" i="2"/>
  <c r="AE351" i="2"/>
  <c r="AE121" i="2"/>
  <c r="AE178" i="2"/>
  <c r="AE375" i="2"/>
  <c r="AE336" i="2"/>
  <c r="AE93" i="2"/>
  <c r="AE139" i="2"/>
  <c r="AE27" i="2"/>
  <c r="AE291" i="2"/>
  <c r="AE108" i="2"/>
  <c r="AE158" i="2"/>
  <c r="AU86" i="2"/>
  <c r="AE333" i="2"/>
  <c r="AE84" i="2"/>
  <c r="AE247" i="2"/>
  <c r="AE246" i="2"/>
  <c r="AE357" i="2"/>
  <c r="AE185" i="2"/>
  <c r="AE263" i="2"/>
  <c r="AE95" i="2"/>
  <c r="AE250" i="2"/>
  <c r="AE348" i="2"/>
  <c r="AE72" i="2"/>
  <c r="AE103" i="2"/>
  <c r="AE344" i="2"/>
  <c r="AE238" i="2"/>
  <c r="AE168" i="2"/>
  <c r="AE300" i="2"/>
  <c r="AE37" i="2"/>
  <c r="AE118" i="2"/>
  <c r="AE287" i="2"/>
  <c r="AE189" i="2"/>
  <c r="AU28" i="2"/>
  <c r="AE198" i="2"/>
  <c r="AE312" i="2"/>
  <c r="AE202" i="2"/>
  <c r="AE35" i="2"/>
  <c r="AE257" i="2"/>
  <c r="AE191" i="2"/>
  <c r="AE209" i="2"/>
  <c r="AE282" i="2"/>
  <c r="AE170" i="2"/>
  <c r="AE19" i="2"/>
  <c r="AE295" i="2"/>
  <c r="AU20" i="2"/>
  <c r="AE123" i="2"/>
  <c r="AE241" i="2"/>
  <c r="AE131" i="2"/>
  <c r="AU56" i="2"/>
  <c r="AE197" i="2"/>
  <c r="AE42" i="2"/>
  <c r="AE259" i="2"/>
  <c r="AE206" i="2"/>
  <c r="AE304" i="2"/>
  <c r="AE296" i="2"/>
  <c r="AE349" i="2"/>
  <c r="AE31" i="2"/>
  <c r="AE266" i="2"/>
  <c r="AE362" i="2"/>
  <c r="AE329" i="2"/>
  <c r="AE52" i="2"/>
  <c r="AE82" i="2"/>
  <c r="AE163" i="2"/>
  <c r="AE360" i="2"/>
  <c r="AE308" i="2"/>
  <c r="AE78" i="2"/>
  <c r="AE29" i="2"/>
  <c r="AE183" i="2"/>
  <c r="AE302" i="2"/>
  <c r="AE71" i="2"/>
  <c r="AE129" i="2"/>
  <c r="AE205" i="2"/>
  <c r="AE268" i="2"/>
  <c r="AE365" i="2"/>
  <c r="AU94" i="2"/>
  <c r="AE314" i="2"/>
  <c r="AE317" i="2"/>
  <c r="AE332" i="2"/>
  <c r="AE145" i="2"/>
  <c r="AE147" i="2"/>
  <c r="AE46" i="2"/>
  <c r="AE119" i="2"/>
  <c r="AE368" i="2"/>
  <c r="AE92" i="2"/>
  <c r="AE234" i="2"/>
  <c r="AE79" i="2"/>
  <c r="AE338" i="2"/>
  <c r="AE112" i="2"/>
  <c r="AE140" i="2"/>
  <c r="AE334" i="2"/>
  <c r="AE237" i="2"/>
  <c r="AE77" i="2"/>
  <c r="AE20" i="2"/>
  <c r="AE200" i="2"/>
  <c r="AE181" i="2"/>
  <c r="AE313" i="2"/>
  <c r="AE253" i="2"/>
  <c r="AU92" i="2"/>
  <c r="AE50" i="2"/>
  <c r="AE311" i="2"/>
  <c r="AE316" i="2"/>
  <c r="AE370" i="2"/>
  <c r="AE117" i="2"/>
  <c r="AE166" i="2"/>
  <c r="AE57" i="2"/>
  <c r="AE337" i="2"/>
  <c r="AE90" i="2"/>
  <c r="AE277" i="2"/>
  <c r="AE199" i="2"/>
  <c r="V17" i="2"/>
  <c r="AE272" i="2"/>
  <c r="AE192" i="2"/>
  <c r="AE113" i="2"/>
  <c r="AE102" i="2"/>
  <c r="AE187" i="2"/>
  <c r="AE292" i="2"/>
  <c r="AE208" i="2"/>
  <c r="AE222" i="2"/>
  <c r="AE41" i="2"/>
  <c r="AE115" i="2"/>
  <c r="AE110" i="2"/>
  <c r="AE182" i="2"/>
  <c r="AE63" i="2"/>
  <c r="AE350" i="2"/>
  <c r="AE196" i="2"/>
  <c r="AE325" i="2"/>
  <c r="AE188" i="2"/>
  <c r="AE321" i="2"/>
  <c r="AE64" i="2"/>
  <c r="AE94" i="2"/>
  <c r="AE143" i="2"/>
  <c r="AE172" i="2"/>
  <c r="AE366" i="2"/>
  <c r="AE262" i="2"/>
  <c r="AE98" i="2"/>
  <c r="AE243" i="2"/>
  <c r="AE319" i="2"/>
  <c r="AE240" i="2"/>
  <c r="AE179" i="2"/>
  <c r="AE216" i="2"/>
  <c r="AE276" i="2"/>
  <c r="AE359" i="2"/>
  <c r="AE67" i="2"/>
  <c r="AE301" i="2"/>
  <c r="AE89" i="2"/>
  <c r="AE136" i="2"/>
  <c r="AE144" i="2"/>
  <c r="AE194" i="2"/>
  <c r="AE111" i="2"/>
  <c r="AE355" i="2"/>
  <c r="AE342" i="2"/>
  <c r="AU70" i="2"/>
  <c r="AE267" i="2"/>
  <c r="AE289" i="2"/>
  <c r="AE258" i="2"/>
  <c r="AE127" i="2"/>
  <c r="AE161" i="2"/>
  <c r="AE231" i="2"/>
  <c r="AE124" i="2"/>
  <c r="AE242" i="2"/>
  <c r="AE298" i="2"/>
  <c r="AE58" i="2"/>
  <c r="AE215" i="2"/>
  <c r="AE345" i="2"/>
  <c r="AE210" i="2"/>
  <c r="AE373" i="2"/>
  <c r="AE245" i="2"/>
  <c r="AE219" i="2"/>
  <c r="AE374" i="2"/>
  <c r="AE278" i="2"/>
  <c r="AE273" i="2"/>
  <c r="AE153" i="2"/>
  <c r="AE204" i="2"/>
  <c r="AE315" i="2"/>
  <c r="AE290" i="2"/>
  <c r="AE249" i="2"/>
  <c r="AE326" i="2"/>
  <c r="AE339" i="2"/>
  <c r="AE297" i="2"/>
  <c r="AE283" i="2"/>
  <c r="AE96" i="2"/>
  <c r="AE341" i="2"/>
  <c r="AE80" i="2"/>
  <c r="AE130" i="2"/>
  <c r="AE169" i="2"/>
  <c r="AE48" i="2"/>
  <c r="AU38" i="2"/>
  <c r="AE101" i="2"/>
  <c r="AE122" i="2"/>
  <c r="AE83" i="2"/>
  <c r="AE160" i="2"/>
  <c r="AE162" i="2"/>
  <c r="AE318" i="2"/>
  <c r="AE270" i="2"/>
  <c r="AE265" i="2"/>
  <c r="AE248" i="2"/>
  <c r="AE371" i="2"/>
  <c r="AU36" i="2"/>
  <c r="I18" i="2" l="1"/>
  <c r="AT59" i="2"/>
  <c r="AT61" i="2"/>
  <c r="M299" i="1"/>
  <c r="M282" i="1"/>
  <c r="M250" i="1"/>
  <c r="M277" i="1"/>
  <c r="M245" i="1"/>
  <c r="M247" i="1"/>
  <c r="M274" i="1"/>
  <c r="M275" i="1"/>
  <c r="M243" i="1"/>
  <c r="M271" i="1"/>
  <c r="M301" i="1"/>
  <c r="M269" i="1"/>
  <c r="M242" i="1"/>
  <c r="M272" i="1"/>
  <c r="M297" i="1"/>
  <c r="M281" i="1"/>
  <c r="K281" i="1" s="1"/>
  <c r="M265" i="1"/>
  <c r="M294" i="1"/>
  <c r="M284" i="1"/>
  <c r="M278" i="1"/>
  <c r="M268" i="1"/>
  <c r="M262" i="1"/>
  <c r="M256" i="1"/>
  <c r="M280" i="1"/>
  <c r="M270" i="1"/>
  <c r="M260" i="1"/>
  <c r="M254" i="1"/>
  <c r="M248" i="1"/>
  <c r="M249" i="1"/>
  <c r="M296" i="1"/>
  <c r="M292" i="1"/>
  <c r="M286" i="1"/>
  <c r="K287" i="1" s="1"/>
  <c r="M276" i="1"/>
  <c r="M264" i="1"/>
  <c r="M244" i="1"/>
  <c r="M300" i="1"/>
  <c r="M288" i="1"/>
  <c r="M252" i="1"/>
  <c r="M246" i="1"/>
  <c r="M298" i="1"/>
  <c r="M266" i="1"/>
  <c r="M293" i="1"/>
  <c r="M261" i="1"/>
  <c r="M279" i="1"/>
  <c r="M267" i="1"/>
  <c r="M26" i="1"/>
  <c r="M12" i="1"/>
  <c r="M295" i="1"/>
  <c r="K296" i="1" s="1"/>
  <c r="M263" i="1"/>
  <c r="M290" i="1"/>
  <c r="M258" i="1"/>
  <c r="M283" i="1"/>
  <c r="M251" i="1"/>
  <c r="M289" i="1"/>
  <c r="M257" i="1"/>
  <c r="M291" i="1"/>
  <c r="M259" i="1"/>
  <c r="M287" i="1"/>
  <c r="M255" i="1"/>
  <c r="M170" i="1"/>
  <c r="M285" i="1"/>
  <c r="M253" i="1"/>
  <c r="M74" i="1"/>
  <c r="M106" i="1"/>
  <c r="M202" i="1"/>
  <c r="M42" i="1"/>
  <c r="M138" i="1"/>
  <c r="M41" i="1"/>
  <c r="M73" i="1"/>
  <c r="M105" i="1"/>
  <c r="M137" i="1"/>
  <c r="M169" i="1"/>
  <c r="M201" i="1"/>
  <c r="M233" i="1"/>
  <c r="M24" i="1"/>
  <c r="M56" i="1"/>
  <c r="M88" i="1"/>
  <c r="M120" i="1"/>
  <c r="M152" i="1"/>
  <c r="M184" i="1"/>
  <c r="M216" i="1"/>
  <c r="M31" i="1"/>
  <c r="M63" i="1"/>
  <c r="M95" i="1"/>
  <c r="M127" i="1"/>
  <c r="M159" i="1"/>
  <c r="M191" i="1"/>
  <c r="M223" i="1"/>
  <c r="M234" i="1"/>
  <c r="M15" i="1"/>
  <c r="M219" i="1"/>
  <c r="M187" i="1"/>
  <c r="M155" i="1"/>
  <c r="M123" i="1"/>
  <c r="M91" i="1"/>
  <c r="M59" i="1"/>
  <c r="M238" i="1"/>
  <c r="M206" i="1"/>
  <c r="M174" i="1"/>
  <c r="M142" i="1"/>
  <c r="M110" i="1"/>
  <c r="M78" i="1"/>
  <c r="M46" i="1"/>
  <c r="M9" i="1"/>
  <c r="AT53" i="2"/>
  <c r="M226" i="1"/>
  <c r="M194" i="1"/>
  <c r="M162" i="1"/>
  <c r="M130" i="1"/>
  <c r="M98" i="1"/>
  <c r="M66" i="1"/>
  <c r="M34" i="1"/>
  <c r="M14" i="1"/>
  <c r="M213" i="1"/>
  <c r="M181" i="1"/>
  <c r="M149" i="1"/>
  <c r="M117" i="1"/>
  <c r="M85" i="1"/>
  <c r="M53" i="1"/>
  <c r="M180" i="1"/>
  <c r="M148" i="1"/>
  <c r="M116" i="1"/>
  <c r="M20" i="1"/>
  <c r="M92" i="1"/>
  <c r="M60" i="1"/>
  <c r="M28" i="1"/>
  <c r="M36" i="1"/>
  <c r="M77" i="1"/>
  <c r="B19" i="1"/>
  <c r="M6" i="1"/>
  <c r="M221" i="1"/>
  <c r="M189" i="1"/>
  <c r="M157" i="1"/>
  <c r="M125" i="1"/>
  <c r="M93" i="1"/>
  <c r="M61" i="1"/>
  <c r="M29" i="1"/>
  <c r="M8" i="1"/>
  <c r="M220" i="1"/>
  <c r="M188" i="1"/>
  <c r="M156" i="1"/>
  <c r="M124" i="1"/>
  <c r="M5" i="1"/>
  <c r="M68" i="1"/>
  <c r="M27" i="1"/>
  <c r="M205" i="1"/>
  <c r="M141" i="1"/>
  <c r="M109" i="1"/>
  <c r="M237" i="1"/>
  <c r="M173" i="1"/>
  <c r="M45" i="1"/>
  <c r="M229" i="1"/>
  <c r="M197" i="1"/>
  <c r="M165" i="1"/>
  <c r="M133" i="1"/>
  <c r="M101" i="1"/>
  <c r="M69" i="1"/>
  <c r="M37" i="1"/>
  <c r="M19" i="1"/>
  <c r="M7" i="1"/>
  <c r="M228" i="1"/>
  <c r="M196" i="1"/>
  <c r="M164" i="1"/>
  <c r="M132" i="1"/>
  <c r="M21" i="1"/>
  <c r="M236" i="1"/>
  <c r="M204" i="1"/>
  <c r="M172" i="1"/>
  <c r="M140" i="1"/>
  <c r="M108" i="1"/>
  <c r="M76" i="1"/>
  <c r="M44" i="1"/>
  <c r="M18" i="1"/>
  <c r="M212" i="1"/>
  <c r="M84" i="1"/>
  <c r="M52" i="1"/>
  <c r="M17" i="1"/>
  <c r="M16" i="1"/>
  <c r="M100" i="1"/>
  <c r="M4" i="1"/>
  <c r="M215" i="1"/>
  <c r="M183" i="1"/>
  <c r="M151" i="1"/>
  <c r="M119" i="1"/>
  <c r="M87" i="1"/>
  <c r="M55" i="1"/>
  <c r="M23" i="1"/>
  <c r="M240" i="1"/>
  <c r="M208" i="1"/>
  <c r="M176" i="1"/>
  <c r="M144" i="1"/>
  <c r="M112" i="1"/>
  <c r="M80" i="1"/>
  <c r="M48" i="1"/>
  <c r="M11" i="1"/>
  <c r="M225" i="1"/>
  <c r="M193" i="1"/>
  <c r="M161" i="1"/>
  <c r="M129" i="1"/>
  <c r="M97" i="1"/>
  <c r="M65" i="1"/>
  <c r="M33" i="1"/>
  <c r="M211" i="1"/>
  <c r="M179" i="1"/>
  <c r="M147" i="1"/>
  <c r="M115" i="1"/>
  <c r="M83" i="1"/>
  <c r="M51" i="1"/>
  <c r="M230" i="1"/>
  <c r="M198" i="1"/>
  <c r="M166" i="1"/>
  <c r="M134" i="1"/>
  <c r="M102" i="1"/>
  <c r="M70" i="1"/>
  <c r="M38" i="1"/>
  <c r="M218" i="1"/>
  <c r="M186" i="1"/>
  <c r="M154" i="1"/>
  <c r="M122" i="1"/>
  <c r="M90" i="1"/>
  <c r="M58" i="1"/>
  <c r="M239" i="1"/>
  <c r="M207" i="1"/>
  <c r="M175" i="1"/>
  <c r="M143" i="1"/>
  <c r="M111" i="1"/>
  <c r="M79" i="1"/>
  <c r="M47" i="1"/>
  <c r="M232" i="1"/>
  <c r="M200" i="1"/>
  <c r="M168" i="1"/>
  <c r="M136" i="1"/>
  <c r="M104" i="1"/>
  <c r="M72" i="1"/>
  <c r="M40" i="1"/>
  <c r="M217" i="1"/>
  <c r="M185" i="1"/>
  <c r="M153" i="1"/>
  <c r="M121" i="1"/>
  <c r="M89" i="1"/>
  <c r="M57" i="1"/>
  <c r="M25" i="1"/>
  <c r="M235" i="1"/>
  <c r="M203" i="1"/>
  <c r="M171" i="1"/>
  <c r="M139" i="1"/>
  <c r="M107" i="1"/>
  <c r="M75" i="1"/>
  <c r="M43" i="1"/>
  <c r="M222" i="1"/>
  <c r="M190" i="1"/>
  <c r="M158" i="1"/>
  <c r="M126" i="1"/>
  <c r="M94" i="1"/>
  <c r="M62" i="1"/>
  <c r="M30" i="1"/>
  <c r="M13" i="1"/>
  <c r="M210" i="1"/>
  <c r="M178" i="1"/>
  <c r="M146" i="1"/>
  <c r="M114" i="1"/>
  <c r="M82" i="1"/>
  <c r="M50" i="1"/>
  <c r="M231" i="1"/>
  <c r="M199" i="1"/>
  <c r="M167" i="1"/>
  <c r="M135" i="1"/>
  <c r="M103" i="1"/>
  <c r="M71" i="1"/>
  <c r="M39" i="1"/>
  <c r="M10" i="1"/>
  <c r="AT29" i="2"/>
  <c r="AT27" i="2"/>
  <c r="M224" i="1"/>
  <c r="M192" i="1"/>
  <c r="M160" i="1"/>
  <c r="M128" i="1"/>
  <c r="M96" i="1"/>
  <c r="M64" i="1"/>
  <c r="M32" i="1"/>
  <c r="M241" i="1"/>
  <c r="M209" i="1"/>
  <c r="M177" i="1"/>
  <c r="M145" i="1"/>
  <c r="M113" i="1"/>
  <c r="M81" i="1"/>
  <c r="M49" i="1"/>
  <c r="L361" i="1"/>
  <c r="K360" i="1"/>
  <c r="G356" i="1"/>
  <c r="I356" i="1" s="1"/>
  <c r="L353" i="1"/>
  <c r="K352" i="1"/>
  <c r="L362" i="1"/>
  <c r="K361" i="1"/>
  <c r="K362" i="1"/>
  <c r="G358" i="1"/>
  <c r="I358" i="1" s="1"/>
  <c r="L355" i="1"/>
  <c r="K354" i="1"/>
  <c r="G350" i="1"/>
  <c r="I350" i="1" s="1"/>
  <c r="L347" i="1"/>
  <c r="K346" i="1"/>
  <c r="G342" i="1"/>
  <c r="I342" i="1" s="1"/>
  <c r="L339" i="1"/>
  <c r="K338" i="1"/>
  <c r="G334" i="1"/>
  <c r="I334" i="1" s="1"/>
  <c r="L331" i="1"/>
  <c r="K330" i="1"/>
  <c r="G326" i="1"/>
  <c r="I326" i="1" s="1"/>
  <c r="L323" i="1"/>
  <c r="K322" i="1"/>
  <c r="G318" i="1"/>
  <c r="I318" i="1" s="1"/>
  <c r="L315" i="1"/>
  <c r="G310" i="1"/>
  <c r="I310" i="1" s="1"/>
  <c r="L307" i="1"/>
  <c r="G360" i="1"/>
  <c r="I360" i="1" s="1"/>
  <c r="L357" i="1"/>
  <c r="G361" i="1"/>
  <c r="I361" i="1" s="1"/>
  <c r="L358" i="1"/>
  <c r="K357" i="1"/>
  <c r="G353" i="1"/>
  <c r="I353" i="1" s="1"/>
  <c r="L360" i="1"/>
  <c r="K359" i="1"/>
  <c r="G355" i="1"/>
  <c r="I355" i="1" s="1"/>
  <c r="L352" i="1"/>
  <c r="K351" i="1"/>
  <c r="G347" i="1"/>
  <c r="I347" i="1" s="1"/>
  <c r="L344" i="1"/>
  <c r="K343" i="1"/>
  <c r="G339" i="1"/>
  <c r="I339" i="1" s="1"/>
  <c r="L336" i="1"/>
  <c r="K335" i="1"/>
  <c r="G331" i="1"/>
  <c r="I331" i="1" s="1"/>
  <c r="L328" i="1"/>
  <c r="K327" i="1"/>
  <c r="G323" i="1"/>
  <c r="I323" i="1" s="1"/>
  <c r="L320" i="1"/>
  <c r="K319" i="1"/>
  <c r="G315" i="1"/>
  <c r="I315" i="1" s="1"/>
  <c r="L312" i="1"/>
  <c r="G307" i="1"/>
  <c r="I307" i="1" s="1"/>
  <c r="G357" i="1"/>
  <c r="I357" i="1" s="1"/>
  <c r="K355" i="1"/>
  <c r="G354" i="1"/>
  <c r="I354" i="1" s="1"/>
  <c r="G352" i="1"/>
  <c r="I352" i="1" s="1"/>
  <c r="L350" i="1"/>
  <c r="G348" i="1"/>
  <c r="I348" i="1" s="1"/>
  <c r="L343" i="1"/>
  <c r="K339" i="1"/>
  <c r="K332" i="1"/>
  <c r="G327" i="1"/>
  <c r="I327" i="1" s="1"/>
  <c r="K325" i="1"/>
  <c r="K321" i="1"/>
  <c r="G320" i="1"/>
  <c r="I320" i="1" s="1"/>
  <c r="L318" i="1"/>
  <c r="G316" i="1"/>
  <c r="I316" i="1" s="1"/>
  <c r="L311" i="1"/>
  <c r="G305" i="1"/>
  <c r="I305" i="1" s="1"/>
  <c r="L302" i="1"/>
  <c r="G297" i="1"/>
  <c r="I297" i="1" s="1"/>
  <c r="L294" i="1"/>
  <c r="K293" i="1"/>
  <c r="G289" i="1"/>
  <c r="I289" i="1" s="1"/>
  <c r="L286" i="1"/>
  <c r="G281" i="1"/>
  <c r="I281" i="1" s="1"/>
  <c r="L278" i="1"/>
  <c r="G273" i="1"/>
  <c r="I273" i="1" s="1"/>
  <c r="L270" i="1"/>
  <c r="K271" i="1" s="1"/>
  <c r="G265" i="1"/>
  <c r="I265" i="1" s="1"/>
  <c r="L262" i="1"/>
  <c r="K263" i="1" s="1"/>
  <c r="G257" i="1"/>
  <c r="I257" i="1" s="1"/>
  <c r="G249" i="1"/>
  <c r="I249" i="1" s="1"/>
  <c r="G241" i="1"/>
  <c r="I241" i="1" s="1"/>
  <c r="G233" i="1"/>
  <c r="I233" i="1" s="1"/>
  <c r="G225" i="1"/>
  <c r="I225" i="1" s="1"/>
  <c r="G217" i="1"/>
  <c r="I217" i="1" s="1"/>
  <c r="G209" i="1"/>
  <c r="I209" i="1" s="1"/>
  <c r="G201" i="1"/>
  <c r="I201" i="1" s="1"/>
  <c r="G193" i="1"/>
  <c r="I193" i="1" s="1"/>
  <c r="G185" i="1"/>
  <c r="I185" i="1" s="1"/>
  <c r="G177" i="1"/>
  <c r="I177" i="1" s="1"/>
  <c r="G169" i="1"/>
  <c r="I169" i="1" s="1"/>
  <c r="G161" i="1"/>
  <c r="I161" i="1" s="1"/>
  <c r="G153" i="1"/>
  <c r="I153" i="1" s="1"/>
  <c r="G145" i="1"/>
  <c r="I145" i="1" s="1"/>
  <c r="G137" i="1"/>
  <c r="I137" i="1" s="1"/>
  <c r="G129" i="1"/>
  <c r="I129" i="1" s="1"/>
  <c r="G121" i="1"/>
  <c r="I121" i="1" s="1"/>
  <c r="G113" i="1"/>
  <c r="I113" i="1" s="1"/>
  <c r="G105" i="1"/>
  <c r="I105" i="1" s="1"/>
  <c r="G97" i="1"/>
  <c r="I97" i="1" s="1"/>
  <c r="G89" i="1"/>
  <c r="I89" i="1" s="1"/>
  <c r="G81" i="1"/>
  <c r="I81" i="1" s="1"/>
  <c r="G73" i="1"/>
  <c r="I73" i="1" s="1"/>
  <c r="G65" i="1"/>
  <c r="I65" i="1" s="1"/>
  <c r="G57" i="1"/>
  <c r="I57" i="1" s="1"/>
  <c r="G49" i="1"/>
  <c r="I49" i="1" s="1"/>
  <c r="G41" i="1"/>
  <c r="I41" i="1" s="1"/>
  <c r="G33" i="1"/>
  <c r="I33" i="1" s="1"/>
  <c r="G25" i="1"/>
  <c r="I25" i="1" s="1"/>
  <c r="G12" i="1"/>
  <c r="I12" i="1" s="1"/>
  <c r="G7" i="1"/>
  <c r="I7" i="1" s="1"/>
  <c r="G359" i="1"/>
  <c r="I359" i="1" s="1"/>
  <c r="K350" i="1"/>
  <c r="G349" i="1"/>
  <c r="I349" i="1" s="1"/>
  <c r="G345" i="1"/>
  <c r="I345" i="1" s="1"/>
  <c r="L340" i="1"/>
  <c r="G338" i="1"/>
  <c r="I338" i="1" s="1"/>
  <c r="K336" i="1"/>
  <c r="L333" i="1"/>
  <c r="L329" i="1"/>
  <c r="L322" i="1"/>
  <c r="K318" i="1"/>
  <c r="G317" i="1"/>
  <c r="I317" i="1" s="1"/>
  <c r="G313" i="1"/>
  <c r="I313" i="1" s="1"/>
  <c r="L308" i="1"/>
  <c r="G306" i="1"/>
  <c r="I306" i="1" s="1"/>
  <c r="L303" i="1"/>
  <c r="G298" i="1"/>
  <c r="I298" i="1" s="1"/>
  <c r="L295" i="1"/>
  <c r="G290" i="1"/>
  <c r="I290" i="1" s="1"/>
  <c r="L287" i="1"/>
  <c r="G282" i="1"/>
  <c r="I282" i="1" s="1"/>
  <c r="L279" i="1"/>
  <c r="G274" i="1"/>
  <c r="I274" i="1" s="1"/>
  <c r="L271" i="1"/>
  <c r="G266" i="1"/>
  <c r="I266" i="1" s="1"/>
  <c r="L263" i="1"/>
  <c r="G258" i="1"/>
  <c r="I258" i="1" s="1"/>
  <c r="G250" i="1"/>
  <c r="I250" i="1" s="1"/>
  <c r="G242" i="1"/>
  <c r="I242" i="1" s="1"/>
  <c r="G234" i="1"/>
  <c r="I234" i="1" s="1"/>
  <c r="G226" i="1"/>
  <c r="I226" i="1" s="1"/>
  <c r="G218" i="1"/>
  <c r="I218" i="1" s="1"/>
  <c r="G210" i="1"/>
  <c r="I210" i="1" s="1"/>
  <c r="G202" i="1"/>
  <c r="I202" i="1" s="1"/>
  <c r="G194" i="1"/>
  <c r="I194" i="1" s="1"/>
  <c r="G186" i="1"/>
  <c r="I186" i="1" s="1"/>
  <c r="G178" i="1"/>
  <c r="I178" i="1" s="1"/>
  <c r="G170" i="1"/>
  <c r="I170" i="1" s="1"/>
  <c r="G162" i="1"/>
  <c r="I162" i="1" s="1"/>
  <c r="G154" i="1"/>
  <c r="I154" i="1" s="1"/>
  <c r="G146" i="1"/>
  <c r="I146" i="1" s="1"/>
  <c r="G138" i="1"/>
  <c r="I138" i="1" s="1"/>
  <c r="G130" i="1"/>
  <c r="I130" i="1" s="1"/>
  <c r="G122" i="1"/>
  <c r="I122" i="1" s="1"/>
  <c r="G114" i="1"/>
  <c r="I114" i="1" s="1"/>
  <c r="G106" i="1"/>
  <c r="I106" i="1" s="1"/>
  <c r="G98" i="1"/>
  <c r="I98" i="1" s="1"/>
  <c r="G90" i="1"/>
  <c r="I90" i="1" s="1"/>
  <c r="G82" i="1"/>
  <c r="I82" i="1" s="1"/>
  <c r="G74" i="1"/>
  <c r="I74" i="1" s="1"/>
  <c r="G66" i="1"/>
  <c r="I66" i="1" s="1"/>
  <c r="G58" i="1"/>
  <c r="I58" i="1" s="1"/>
  <c r="G50" i="1"/>
  <c r="I50" i="1" s="1"/>
  <c r="G42" i="1"/>
  <c r="I42" i="1" s="1"/>
  <c r="G34" i="1"/>
  <c r="I34" i="1" s="1"/>
  <c r="G26" i="1"/>
  <c r="I26" i="1" s="1"/>
  <c r="G15" i="1"/>
  <c r="I15" i="1" s="1"/>
  <c r="G14" i="1"/>
  <c r="I14" i="1" s="1"/>
  <c r="G13" i="1"/>
  <c r="I13" i="1" s="1"/>
  <c r="G3" i="1"/>
  <c r="G6" i="1"/>
  <c r="I6" i="1" s="1"/>
  <c r="G4" i="1"/>
  <c r="G29" i="1"/>
  <c r="I29" i="1" s="1"/>
  <c r="L356" i="1"/>
  <c r="K353" i="1"/>
  <c r="L351" i="1"/>
  <c r="K347" i="1"/>
  <c r="K340" i="1"/>
  <c r="G335" i="1"/>
  <c r="I335" i="1" s="1"/>
  <c r="K333" i="1"/>
  <c r="K329" i="1"/>
  <c r="G328" i="1"/>
  <c r="I328" i="1" s="1"/>
  <c r="L326" i="1"/>
  <c r="G324" i="1"/>
  <c r="I324" i="1" s="1"/>
  <c r="L319" i="1"/>
  <c r="K315" i="1"/>
  <c r="K308" i="1"/>
  <c r="L304" i="1"/>
  <c r="K305" i="1" s="1"/>
  <c r="K303" i="1"/>
  <c r="G299" i="1"/>
  <c r="I299" i="1" s="1"/>
  <c r="L296" i="1"/>
  <c r="G291" i="1"/>
  <c r="I291" i="1" s="1"/>
  <c r="L288" i="1"/>
  <c r="G283" i="1"/>
  <c r="I283" i="1" s="1"/>
  <c r="L280" i="1"/>
  <c r="K279" i="1"/>
  <c r="G275" i="1"/>
  <c r="I275" i="1" s="1"/>
  <c r="L272" i="1"/>
  <c r="G267" i="1"/>
  <c r="I267" i="1" s="1"/>
  <c r="L264" i="1"/>
  <c r="G259" i="1"/>
  <c r="I259" i="1" s="1"/>
  <c r="G251" i="1"/>
  <c r="I251" i="1" s="1"/>
  <c r="G243" i="1"/>
  <c r="I243" i="1" s="1"/>
  <c r="G235" i="1"/>
  <c r="I235" i="1" s="1"/>
  <c r="G227" i="1"/>
  <c r="I227" i="1" s="1"/>
  <c r="G219" i="1"/>
  <c r="I219" i="1" s="1"/>
  <c r="G211" i="1"/>
  <c r="I211" i="1" s="1"/>
  <c r="G203" i="1"/>
  <c r="I203" i="1" s="1"/>
  <c r="G195" i="1"/>
  <c r="I195" i="1" s="1"/>
  <c r="G187" i="1"/>
  <c r="I187" i="1" s="1"/>
  <c r="G179" i="1"/>
  <c r="I179" i="1" s="1"/>
  <c r="G171" i="1"/>
  <c r="I171" i="1" s="1"/>
  <c r="G163" i="1"/>
  <c r="I163" i="1" s="1"/>
  <c r="G155" i="1"/>
  <c r="I155" i="1" s="1"/>
  <c r="G147" i="1"/>
  <c r="I147" i="1" s="1"/>
  <c r="G139" i="1"/>
  <c r="I139" i="1" s="1"/>
  <c r="G131" i="1"/>
  <c r="I131" i="1" s="1"/>
  <c r="G123" i="1"/>
  <c r="I123" i="1" s="1"/>
  <c r="G115" i="1"/>
  <c r="I115" i="1" s="1"/>
  <c r="G107" i="1"/>
  <c r="I107" i="1" s="1"/>
  <c r="G99" i="1"/>
  <c r="I99" i="1" s="1"/>
  <c r="G91" i="1"/>
  <c r="I91" i="1" s="1"/>
  <c r="G83" i="1"/>
  <c r="I83" i="1" s="1"/>
  <c r="G75" i="1"/>
  <c r="I75" i="1" s="1"/>
  <c r="G67" i="1"/>
  <c r="I67" i="1" s="1"/>
  <c r="G59" i="1"/>
  <c r="I59" i="1" s="1"/>
  <c r="G51" i="1"/>
  <c r="I51" i="1" s="1"/>
  <c r="G43" i="1"/>
  <c r="I43" i="1" s="1"/>
  <c r="G35" i="1"/>
  <c r="I35" i="1" s="1"/>
  <c r="G27" i="1"/>
  <c r="I27" i="1" s="1"/>
  <c r="G16" i="1"/>
  <c r="I16" i="1" s="1"/>
  <c r="B15" i="1"/>
  <c r="K358" i="1"/>
  <c r="K356" i="1"/>
  <c r="L348" i="1"/>
  <c r="G346" i="1"/>
  <c r="I346" i="1" s="1"/>
  <c r="K344" i="1"/>
  <c r="L341" i="1"/>
  <c r="L337" i="1"/>
  <c r="L330" i="1"/>
  <c r="K326" i="1"/>
  <c r="G325" i="1"/>
  <c r="I325" i="1" s="1"/>
  <c r="G321" i="1"/>
  <c r="I321" i="1" s="1"/>
  <c r="L316" i="1"/>
  <c r="G314" i="1"/>
  <c r="I314" i="1" s="1"/>
  <c r="K312" i="1"/>
  <c r="L309" i="1"/>
  <c r="K310" i="1" s="1"/>
  <c r="L305" i="1"/>
  <c r="K306" i="1" s="1"/>
  <c r="K304" i="1"/>
  <c r="G300" i="1"/>
  <c r="I300" i="1" s="1"/>
  <c r="L297" i="1"/>
  <c r="G292" i="1"/>
  <c r="I292" i="1" s="1"/>
  <c r="L289" i="1"/>
  <c r="K288" i="1"/>
  <c r="G284" i="1"/>
  <c r="I284" i="1" s="1"/>
  <c r="L281" i="1"/>
  <c r="K280" i="1"/>
  <c r="G276" i="1"/>
  <c r="I276" i="1" s="1"/>
  <c r="L273" i="1"/>
  <c r="K272" i="1"/>
  <c r="G268" i="1"/>
  <c r="I268" i="1" s="1"/>
  <c r="L265" i="1"/>
  <c r="G260" i="1"/>
  <c r="I260" i="1" s="1"/>
  <c r="G252" i="1"/>
  <c r="I252" i="1" s="1"/>
  <c r="G244" i="1"/>
  <c r="I244" i="1" s="1"/>
  <c r="G236" i="1"/>
  <c r="I236" i="1" s="1"/>
  <c r="G228" i="1"/>
  <c r="I228" i="1" s="1"/>
  <c r="G220" i="1"/>
  <c r="I220" i="1" s="1"/>
  <c r="G212" i="1"/>
  <c r="I212" i="1" s="1"/>
  <c r="G204" i="1"/>
  <c r="I204" i="1" s="1"/>
  <c r="G196" i="1"/>
  <c r="I196" i="1" s="1"/>
  <c r="G188" i="1"/>
  <c r="I188" i="1" s="1"/>
  <c r="G180" i="1"/>
  <c r="I180" i="1" s="1"/>
  <c r="G172" i="1"/>
  <c r="I172" i="1" s="1"/>
  <c r="G164" i="1"/>
  <c r="I164" i="1" s="1"/>
  <c r="G156" i="1"/>
  <c r="I156" i="1" s="1"/>
  <c r="G148" i="1"/>
  <c r="I148" i="1" s="1"/>
  <c r="G140" i="1"/>
  <c r="I140" i="1" s="1"/>
  <c r="G132" i="1"/>
  <c r="I132" i="1" s="1"/>
  <c r="G124" i="1"/>
  <c r="I124" i="1" s="1"/>
  <c r="G116" i="1"/>
  <c r="I116" i="1" s="1"/>
  <c r="G108" i="1"/>
  <c r="I108" i="1" s="1"/>
  <c r="G100" i="1"/>
  <c r="I100" i="1" s="1"/>
  <c r="G92" i="1"/>
  <c r="I92" i="1" s="1"/>
  <c r="G84" i="1"/>
  <c r="I84" i="1" s="1"/>
  <c r="G76" i="1"/>
  <c r="I76" i="1" s="1"/>
  <c r="G68" i="1"/>
  <c r="I68" i="1" s="1"/>
  <c r="G60" i="1"/>
  <c r="I60" i="1" s="1"/>
  <c r="G52" i="1"/>
  <c r="I52" i="1" s="1"/>
  <c r="G44" i="1"/>
  <c r="I44" i="1" s="1"/>
  <c r="G36" i="1"/>
  <c r="I36" i="1" s="1"/>
  <c r="G28" i="1"/>
  <c r="I28" i="1" s="1"/>
  <c r="G17" i="1"/>
  <c r="I17" i="1" s="1"/>
  <c r="L354" i="1"/>
  <c r="K348" i="1"/>
  <c r="G343" i="1"/>
  <c r="I343" i="1" s="1"/>
  <c r="K341" i="1"/>
  <c r="K337" i="1"/>
  <c r="G336" i="1"/>
  <c r="I336" i="1" s="1"/>
  <c r="L334" i="1"/>
  <c r="G332" i="1"/>
  <c r="I332" i="1" s="1"/>
  <c r="L327" i="1"/>
  <c r="K323" i="1"/>
  <c r="K316" i="1"/>
  <c r="G311" i="1"/>
  <c r="I311" i="1" s="1"/>
  <c r="G301" i="1"/>
  <c r="I301" i="1" s="1"/>
  <c r="L298" i="1"/>
  <c r="K297" i="1"/>
  <c r="G293" i="1"/>
  <c r="I293" i="1" s="1"/>
  <c r="L290" i="1"/>
  <c r="K291" i="1" s="1"/>
  <c r="K289" i="1"/>
  <c r="G285" i="1"/>
  <c r="I285" i="1" s="1"/>
  <c r="L282" i="1"/>
  <c r="G277" i="1"/>
  <c r="I277" i="1" s="1"/>
  <c r="L274" i="1"/>
  <c r="K273" i="1"/>
  <c r="G269" i="1"/>
  <c r="I269" i="1" s="1"/>
  <c r="L266" i="1"/>
  <c r="K267" i="1" s="1"/>
  <c r="G261" i="1"/>
  <c r="I261" i="1" s="1"/>
  <c r="G253" i="1"/>
  <c r="I253" i="1" s="1"/>
  <c r="G245" i="1"/>
  <c r="I245" i="1" s="1"/>
  <c r="G237" i="1"/>
  <c r="I237" i="1" s="1"/>
  <c r="G229" i="1"/>
  <c r="I229" i="1" s="1"/>
  <c r="G221" i="1"/>
  <c r="I221" i="1" s="1"/>
  <c r="G213" i="1"/>
  <c r="I213" i="1" s="1"/>
  <c r="G205" i="1"/>
  <c r="I205" i="1" s="1"/>
  <c r="G197" i="1"/>
  <c r="I197" i="1" s="1"/>
  <c r="G189" i="1"/>
  <c r="I189" i="1" s="1"/>
  <c r="G181" i="1"/>
  <c r="I181" i="1" s="1"/>
  <c r="G173" i="1"/>
  <c r="I173" i="1" s="1"/>
  <c r="G165" i="1"/>
  <c r="I165" i="1" s="1"/>
  <c r="G157" i="1"/>
  <c r="I157" i="1" s="1"/>
  <c r="G149" i="1"/>
  <c r="I149" i="1" s="1"/>
  <c r="G141" i="1"/>
  <c r="I141" i="1" s="1"/>
  <c r="G133" i="1"/>
  <c r="I133" i="1" s="1"/>
  <c r="G125" i="1"/>
  <c r="I125" i="1" s="1"/>
  <c r="G117" i="1"/>
  <c r="I117" i="1" s="1"/>
  <c r="G109" i="1"/>
  <c r="I109" i="1" s="1"/>
  <c r="G101" i="1"/>
  <c r="I101" i="1" s="1"/>
  <c r="G93" i="1"/>
  <c r="I93" i="1" s="1"/>
  <c r="G85" i="1"/>
  <c r="I85" i="1" s="1"/>
  <c r="G77" i="1"/>
  <c r="I77" i="1" s="1"/>
  <c r="G69" i="1"/>
  <c r="I69" i="1" s="1"/>
  <c r="G61" i="1"/>
  <c r="I61" i="1" s="1"/>
  <c r="G53" i="1"/>
  <c r="I53" i="1" s="1"/>
  <c r="G45" i="1"/>
  <c r="I45" i="1" s="1"/>
  <c r="G37" i="1"/>
  <c r="I37" i="1" s="1"/>
  <c r="G362" i="1"/>
  <c r="I362" i="1" s="1"/>
  <c r="L346" i="1"/>
  <c r="K342" i="1"/>
  <c r="G341" i="1"/>
  <c r="I341" i="1" s="1"/>
  <c r="G337" i="1"/>
  <c r="I337" i="1" s="1"/>
  <c r="L332" i="1"/>
  <c r="G330" i="1"/>
  <c r="I330" i="1" s="1"/>
  <c r="K328" i="1"/>
  <c r="L325" i="1"/>
  <c r="L321" i="1"/>
  <c r="L314" i="1"/>
  <c r="G309" i="1"/>
  <c r="I309" i="1" s="1"/>
  <c r="G304" i="1"/>
  <c r="I304" i="1" s="1"/>
  <c r="L301" i="1"/>
  <c r="G296" i="1"/>
  <c r="I296" i="1" s="1"/>
  <c r="L293" i="1"/>
  <c r="K294" i="1" s="1"/>
  <c r="G288" i="1"/>
  <c r="I288" i="1" s="1"/>
  <c r="L285" i="1"/>
  <c r="G280" i="1"/>
  <c r="I280" i="1" s="1"/>
  <c r="L277" i="1"/>
  <c r="K278" i="1" s="1"/>
  <c r="G272" i="1"/>
  <c r="I272" i="1" s="1"/>
  <c r="L269" i="1"/>
  <c r="G264" i="1"/>
  <c r="I264" i="1" s="1"/>
  <c r="G256" i="1"/>
  <c r="I256" i="1" s="1"/>
  <c r="G248" i="1"/>
  <c r="I248" i="1" s="1"/>
  <c r="G240" i="1"/>
  <c r="I240" i="1" s="1"/>
  <c r="G232" i="1"/>
  <c r="I232" i="1" s="1"/>
  <c r="G224" i="1"/>
  <c r="I224" i="1" s="1"/>
  <c r="G208" i="1"/>
  <c r="I208" i="1" s="1"/>
  <c r="G200" i="1"/>
  <c r="I200" i="1" s="1"/>
  <c r="G192" i="1"/>
  <c r="I192" i="1" s="1"/>
  <c r="G184" i="1"/>
  <c r="I184" i="1" s="1"/>
  <c r="G176" i="1"/>
  <c r="I176" i="1" s="1"/>
  <c r="G168" i="1"/>
  <c r="I168" i="1" s="1"/>
  <c r="G160" i="1"/>
  <c r="I160" i="1" s="1"/>
  <c r="G152" i="1"/>
  <c r="I152" i="1" s="1"/>
  <c r="G144" i="1"/>
  <c r="I144" i="1" s="1"/>
  <c r="G136" i="1"/>
  <c r="I136" i="1" s="1"/>
  <c r="G128" i="1"/>
  <c r="I128" i="1" s="1"/>
  <c r="G120" i="1"/>
  <c r="I120" i="1" s="1"/>
  <c r="G112" i="1"/>
  <c r="I112" i="1" s="1"/>
  <c r="G104" i="1"/>
  <c r="I104" i="1" s="1"/>
  <c r="G96" i="1"/>
  <c r="I96" i="1" s="1"/>
  <c r="G88" i="1"/>
  <c r="I88" i="1" s="1"/>
  <c r="G80" i="1"/>
  <c r="I80" i="1" s="1"/>
  <c r="G72" i="1"/>
  <c r="I72" i="1" s="1"/>
  <c r="G64" i="1"/>
  <c r="I64" i="1" s="1"/>
  <c r="G56" i="1"/>
  <c r="I56" i="1" s="1"/>
  <c r="G48" i="1"/>
  <c r="I48" i="1" s="1"/>
  <c r="G40" i="1"/>
  <c r="I40" i="1" s="1"/>
  <c r="G32" i="1"/>
  <c r="I32" i="1" s="1"/>
  <c r="G24" i="1"/>
  <c r="I24" i="1" s="1"/>
  <c r="G11" i="1"/>
  <c r="I11" i="1" s="1"/>
  <c r="G5" i="1"/>
  <c r="L342" i="1"/>
  <c r="G340" i="1"/>
  <c r="I340" i="1" s="1"/>
  <c r="K320" i="1"/>
  <c r="L300" i="1"/>
  <c r="K301" i="1" s="1"/>
  <c r="G294" i="1"/>
  <c r="I294" i="1" s="1"/>
  <c r="L291" i="1"/>
  <c r="L284" i="1"/>
  <c r="K285" i="1" s="1"/>
  <c r="G278" i="1"/>
  <c r="I278" i="1" s="1"/>
  <c r="L275" i="1"/>
  <c r="K275" i="1" s="1"/>
  <c r="L268" i="1"/>
  <c r="G246" i="1"/>
  <c r="I246" i="1" s="1"/>
  <c r="G223" i="1"/>
  <c r="I223" i="1" s="1"/>
  <c r="G191" i="1"/>
  <c r="I191" i="1" s="1"/>
  <c r="G159" i="1"/>
  <c r="I159" i="1" s="1"/>
  <c r="G127" i="1"/>
  <c r="I127" i="1" s="1"/>
  <c r="G95" i="1"/>
  <c r="I95" i="1" s="1"/>
  <c r="G63" i="1"/>
  <c r="I63" i="1" s="1"/>
  <c r="G31" i="1"/>
  <c r="I31" i="1" s="1"/>
  <c r="G18" i="1"/>
  <c r="I18" i="1" s="1"/>
  <c r="G190" i="1"/>
  <c r="I190" i="1" s="1"/>
  <c r="G158" i="1"/>
  <c r="I158" i="1" s="1"/>
  <c r="G126" i="1"/>
  <c r="I126" i="1" s="1"/>
  <c r="G30" i="1"/>
  <c r="I30" i="1" s="1"/>
  <c r="G9" i="1"/>
  <c r="I9" i="1" s="1"/>
  <c r="G134" i="1"/>
  <c r="I134" i="1" s="1"/>
  <c r="G102" i="1"/>
  <c r="I102" i="1" s="1"/>
  <c r="G70" i="1"/>
  <c r="I70" i="1" s="1"/>
  <c r="G78" i="1"/>
  <c r="I78" i="1" s="1"/>
  <c r="G46" i="1"/>
  <c r="I46" i="1" s="1"/>
  <c r="G119" i="1"/>
  <c r="I119" i="1" s="1"/>
  <c r="G87" i="1"/>
  <c r="I87" i="1" s="1"/>
  <c r="K349" i="1"/>
  <c r="L324" i="1"/>
  <c r="L317" i="1"/>
  <c r="G231" i="1"/>
  <c r="I231" i="1" s="1"/>
  <c r="G199" i="1"/>
  <c r="I199" i="1" s="1"/>
  <c r="G167" i="1"/>
  <c r="I167" i="1" s="1"/>
  <c r="G135" i="1"/>
  <c r="I135" i="1" s="1"/>
  <c r="G103" i="1"/>
  <c r="I103" i="1" s="1"/>
  <c r="G71" i="1"/>
  <c r="I71" i="1" s="1"/>
  <c r="G39" i="1"/>
  <c r="I39" i="1" s="1"/>
  <c r="G20" i="1"/>
  <c r="I20" i="1" s="1"/>
  <c r="L359" i="1"/>
  <c r="G344" i="1"/>
  <c r="I344" i="1" s="1"/>
  <c r="K324" i="1"/>
  <c r="K317" i="1"/>
  <c r="G230" i="1"/>
  <c r="I230" i="1" s="1"/>
  <c r="G166" i="1"/>
  <c r="I166" i="1" s="1"/>
  <c r="G23" i="1"/>
  <c r="I23" i="1" s="1"/>
  <c r="G8" i="1"/>
  <c r="I8" i="1" s="1"/>
  <c r="G319" i="1"/>
  <c r="I319" i="1" s="1"/>
  <c r="G215" i="1"/>
  <c r="I215" i="1" s="1"/>
  <c r="G151" i="1"/>
  <c r="I151" i="1" s="1"/>
  <c r="L345" i="1"/>
  <c r="G183" i="1"/>
  <c r="I183" i="1" s="1"/>
  <c r="G55" i="1"/>
  <c r="I55" i="1" s="1"/>
  <c r="L338" i="1"/>
  <c r="K331" i="1"/>
  <c r="G329" i="1"/>
  <c r="I329" i="1" s="1"/>
  <c r="G322" i="1"/>
  <c r="I322" i="1" s="1"/>
  <c r="G312" i="1"/>
  <c r="I312" i="1" s="1"/>
  <c r="G302" i="1"/>
  <c r="I302" i="1" s="1"/>
  <c r="L299" i="1"/>
  <c r="L292" i="1"/>
  <c r="G286" i="1"/>
  <c r="I286" i="1" s="1"/>
  <c r="L283" i="1"/>
  <c r="K284" i="1" s="1"/>
  <c r="L276" i="1"/>
  <c r="G270" i="1"/>
  <c r="I270" i="1" s="1"/>
  <c r="L267" i="1"/>
  <c r="G254" i="1"/>
  <c r="I254" i="1" s="1"/>
  <c r="G239" i="1"/>
  <c r="I239" i="1" s="1"/>
  <c r="G207" i="1"/>
  <c r="I207" i="1" s="1"/>
  <c r="G175" i="1"/>
  <c r="I175" i="1" s="1"/>
  <c r="G143" i="1"/>
  <c r="I143" i="1" s="1"/>
  <c r="G111" i="1"/>
  <c r="I111" i="1" s="1"/>
  <c r="G79" i="1"/>
  <c r="I79" i="1" s="1"/>
  <c r="G47" i="1"/>
  <c r="I47" i="1" s="1"/>
  <c r="G351" i="1"/>
  <c r="I351" i="1" s="1"/>
  <c r="L335" i="1"/>
  <c r="L306" i="1"/>
  <c r="G295" i="1"/>
  <c r="I295" i="1" s="1"/>
  <c r="K283" i="1"/>
  <c r="G279" i="1"/>
  <c r="I279" i="1" s="1"/>
  <c r="K274" i="1"/>
  <c r="G263" i="1"/>
  <c r="I263" i="1" s="1"/>
  <c r="G247" i="1"/>
  <c r="I247" i="1" s="1"/>
  <c r="G238" i="1"/>
  <c r="I238" i="1" s="1"/>
  <c r="G206" i="1"/>
  <c r="I206" i="1" s="1"/>
  <c r="G174" i="1"/>
  <c r="I174" i="1" s="1"/>
  <c r="G142" i="1"/>
  <c r="I142" i="1" s="1"/>
  <c r="G110" i="1"/>
  <c r="I110" i="1" s="1"/>
  <c r="G19" i="1"/>
  <c r="I19" i="1" s="1"/>
  <c r="K345" i="1"/>
  <c r="G333" i="1"/>
  <c r="I333" i="1" s="1"/>
  <c r="L313" i="1"/>
  <c r="K313" i="1" s="1"/>
  <c r="G214" i="1"/>
  <c r="I214" i="1" s="1"/>
  <c r="G182" i="1"/>
  <c r="I182" i="1" s="1"/>
  <c r="G150" i="1"/>
  <c r="I150" i="1" s="1"/>
  <c r="G118" i="1"/>
  <c r="I118" i="1" s="1"/>
  <c r="G86" i="1"/>
  <c r="I86" i="1" s="1"/>
  <c r="G54" i="1"/>
  <c r="I54" i="1" s="1"/>
  <c r="G21" i="1"/>
  <c r="I21" i="1" s="1"/>
  <c r="G10" i="1"/>
  <c r="I10" i="1" s="1"/>
  <c r="L349" i="1"/>
  <c r="K334" i="1"/>
  <c r="L310" i="1"/>
  <c r="K311" i="1" s="1"/>
  <c r="G308" i="1"/>
  <c r="I308" i="1" s="1"/>
  <c r="G303" i="1"/>
  <c r="I303" i="1" s="1"/>
  <c r="G287" i="1"/>
  <c r="I287" i="1" s="1"/>
  <c r="G271" i="1"/>
  <c r="I271" i="1" s="1"/>
  <c r="G255" i="1"/>
  <c r="I255" i="1" s="1"/>
  <c r="G222" i="1"/>
  <c r="I222" i="1" s="1"/>
  <c r="G94" i="1"/>
  <c r="I94" i="1" s="1"/>
  <c r="G62" i="1"/>
  <c r="I62" i="1" s="1"/>
  <c r="G198" i="1"/>
  <c r="I198" i="1" s="1"/>
  <c r="G38" i="1"/>
  <c r="I38" i="1" s="1"/>
  <c r="G22" i="1"/>
  <c r="I22" i="1" s="1"/>
  <c r="M227" i="1"/>
  <c r="M195" i="1"/>
  <c r="M163" i="1"/>
  <c r="M131" i="1"/>
  <c r="M99" i="1"/>
  <c r="M67" i="1"/>
  <c r="M35" i="1"/>
  <c r="M214" i="1"/>
  <c r="M182" i="1"/>
  <c r="M150" i="1"/>
  <c r="M118" i="1"/>
  <c r="M86" i="1"/>
  <c r="M54" i="1"/>
  <c r="M22" i="1"/>
  <c r="K18" i="2"/>
  <c r="R7" i="2"/>
  <c r="Y18" i="2"/>
  <c r="R3" i="2"/>
  <c r="AJ18" i="2"/>
  <c r="K277" i="1" l="1"/>
  <c r="K265" i="1"/>
  <c r="K307" i="1"/>
  <c r="K270" i="1"/>
  <c r="K299" i="1"/>
  <c r="K282" i="1"/>
  <c r="K300" i="1"/>
  <c r="K276" i="1"/>
  <c r="K295" i="1"/>
  <c r="K269" i="1"/>
  <c r="K286" i="1"/>
  <c r="K314" i="1"/>
  <c r="K292" i="1"/>
  <c r="K302" i="1"/>
  <c r="K268" i="1"/>
  <c r="K266" i="1"/>
  <c r="K264" i="1"/>
  <c r="K309" i="1"/>
  <c r="K290" i="1"/>
  <c r="K298" i="1"/>
  <c r="AT33" i="2"/>
  <c r="J205" i="1"/>
  <c r="L48" i="1"/>
  <c r="L218" i="1"/>
  <c r="L237" i="1"/>
  <c r="J215" i="1"/>
  <c r="L17" i="1"/>
  <c r="L228" i="1"/>
  <c r="L221" i="1"/>
  <c r="L32" i="1"/>
  <c r="L258" i="1"/>
  <c r="L224" i="1"/>
  <c r="J123" i="1"/>
  <c r="N18" i="2"/>
  <c r="M18" i="2"/>
  <c r="L211" i="1"/>
  <c r="L76" i="1"/>
  <c r="L19" i="1"/>
  <c r="L101" i="1"/>
  <c r="L176" i="1"/>
  <c r="L191" i="1"/>
  <c r="J80" i="1"/>
  <c r="J212" i="1"/>
  <c r="J111" i="1"/>
  <c r="J11" i="1"/>
  <c r="J133" i="1"/>
  <c r="J44" i="1"/>
  <c r="J187" i="1"/>
  <c r="J109" i="1"/>
  <c r="L116" i="1"/>
  <c r="L26" i="1"/>
  <c r="L149" i="1"/>
  <c r="L47" i="1"/>
  <c r="K48" i="1" s="1"/>
  <c r="J127" i="1"/>
  <c r="L35" i="1"/>
  <c r="L132" i="1"/>
  <c r="L16" i="1"/>
  <c r="L188" i="1"/>
  <c r="L68" i="1"/>
  <c r="L164" i="1"/>
  <c r="L84" i="1"/>
  <c r="L91" i="1"/>
  <c r="L147" i="1"/>
  <c r="L18" i="1"/>
  <c r="L77" i="1"/>
  <c r="L141" i="1"/>
  <c r="L205" i="1"/>
  <c r="L66" i="1"/>
  <c r="L130" i="1"/>
  <c r="L194" i="1"/>
  <c r="L41" i="1"/>
  <c r="L105" i="1"/>
  <c r="L169" i="1"/>
  <c r="L24" i="1"/>
  <c r="L88" i="1"/>
  <c r="L152" i="1"/>
  <c r="L39" i="1"/>
  <c r="L103" i="1"/>
  <c r="L167" i="1"/>
  <c r="L78" i="1"/>
  <c r="L142" i="1"/>
  <c r="L206" i="1"/>
  <c r="J64" i="1"/>
  <c r="J89" i="1"/>
  <c r="J21" i="1"/>
  <c r="J149" i="1"/>
  <c r="J144" i="1"/>
  <c r="J97" i="1"/>
  <c r="J142" i="1"/>
  <c r="J60" i="1"/>
  <c r="J188" i="1"/>
  <c r="J176" i="1"/>
  <c r="J8" i="1"/>
  <c r="J125" i="1"/>
  <c r="J47" i="1"/>
  <c r="J73" i="1"/>
  <c r="J118" i="1"/>
  <c r="I5" i="1"/>
  <c r="J132" i="1"/>
  <c r="J128" i="1"/>
  <c r="J7" i="1"/>
  <c r="J27" i="1"/>
  <c r="J143" i="1"/>
  <c r="J30" i="1"/>
  <c r="J76" i="1"/>
  <c r="J98" i="1"/>
  <c r="J77" i="1"/>
  <c r="L131" i="1"/>
  <c r="L28" i="1"/>
  <c r="L180" i="1"/>
  <c r="L37" i="1"/>
  <c r="L154" i="1"/>
  <c r="L129" i="1"/>
  <c r="L112" i="1"/>
  <c r="L63" i="1"/>
  <c r="J138" i="1"/>
  <c r="J71" i="1"/>
  <c r="J114" i="1"/>
  <c r="J179" i="1"/>
  <c r="J90" i="1"/>
  <c r="J184" i="1"/>
  <c r="L75" i="1"/>
  <c r="L6" i="1"/>
  <c r="L187" i="1"/>
  <c r="L124" i="1"/>
  <c r="L14" i="1"/>
  <c r="L172" i="1"/>
  <c r="L9" i="1"/>
  <c r="L20" i="1"/>
  <c r="L61" i="1"/>
  <c r="L125" i="1"/>
  <c r="L189" i="1"/>
  <c r="L50" i="1"/>
  <c r="L114" i="1"/>
  <c r="L178" i="1"/>
  <c r="L25" i="1"/>
  <c r="L89" i="1"/>
  <c r="L153" i="1"/>
  <c r="L72" i="1"/>
  <c r="L136" i="1"/>
  <c r="L200" i="1"/>
  <c r="L23" i="1"/>
  <c r="L87" i="1"/>
  <c r="L151" i="1"/>
  <c r="L215" i="1"/>
  <c r="L62" i="1"/>
  <c r="L126" i="1"/>
  <c r="L190" i="1"/>
  <c r="K191" i="1" s="1"/>
  <c r="J192" i="1"/>
  <c r="J135" i="1"/>
  <c r="J53" i="1"/>
  <c r="J181" i="1"/>
  <c r="J9" i="1"/>
  <c r="J129" i="1"/>
  <c r="J46" i="1"/>
  <c r="J174" i="1"/>
  <c r="J92" i="1"/>
  <c r="J167" i="1"/>
  <c r="J29" i="1"/>
  <c r="J157" i="1"/>
  <c r="J208" i="1"/>
  <c r="J105" i="1"/>
  <c r="J150" i="1"/>
  <c r="J36" i="1"/>
  <c r="J164" i="1"/>
  <c r="J175" i="1"/>
  <c r="J104" i="1"/>
  <c r="J12" i="1"/>
  <c r="J62" i="1"/>
  <c r="J91" i="1"/>
  <c r="J136" i="1"/>
  <c r="J94" i="1"/>
  <c r="J140" i="1"/>
  <c r="J162" i="1"/>
  <c r="L67" i="1"/>
  <c r="L7" i="1"/>
  <c r="L213" i="1"/>
  <c r="L214" i="1"/>
  <c r="J200" i="1"/>
  <c r="J121" i="1"/>
  <c r="J38" i="1"/>
  <c r="J166" i="1"/>
  <c r="J116" i="1"/>
  <c r="J35" i="1"/>
  <c r="J163" i="1"/>
  <c r="J42" i="1"/>
  <c r="J170" i="1"/>
  <c r="J31" i="1"/>
  <c r="J33" i="1"/>
  <c r="J6" i="1"/>
  <c r="J139" i="1"/>
  <c r="J15" i="1"/>
  <c r="J146" i="1"/>
  <c r="J63" i="1"/>
  <c r="J103" i="1"/>
  <c r="J24" i="1"/>
  <c r="J137" i="1"/>
  <c r="J83" i="1"/>
  <c r="J211" i="1"/>
  <c r="J122" i="1"/>
  <c r="R9" i="2"/>
  <c r="AT57" i="2"/>
  <c r="AT55" i="2"/>
  <c r="J199" i="1"/>
  <c r="J37" i="1"/>
  <c r="J165" i="1"/>
  <c r="J32" i="1"/>
  <c r="J81" i="1"/>
  <c r="J108" i="1"/>
  <c r="J66" i="1"/>
  <c r="J177" i="1"/>
  <c r="J87" i="1"/>
  <c r="L196" i="1"/>
  <c r="L139" i="1"/>
  <c r="L165" i="1"/>
  <c r="L65" i="1"/>
  <c r="L127" i="1"/>
  <c r="J131" i="1"/>
  <c r="J40" i="1"/>
  <c r="J48" i="1"/>
  <c r="L74" i="1"/>
  <c r="L202" i="1"/>
  <c r="L113" i="1"/>
  <c r="L160" i="1"/>
  <c r="L22" i="1"/>
  <c r="L150" i="1"/>
  <c r="J160" i="1"/>
  <c r="L179" i="1"/>
  <c r="L163" i="1"/>
  <c r="L123" i="1"/>
  <c r="L60" i="1"/>
  <c r="L212" i="1"/>
  <c r="L27" i="1"/>
  <c r="L108" i="1"/>
  <c r="L45" i="1"/>
  <c r="L109" i="1"/>
  <c r="L173" i="1"/>
  <c r="G216" i="1"/>
  <c r="I216" i="1" s="1"/>
  <c r="L34" i="1"/>
  <c r="K35" i="1" s="1"/>
  <c r="L98" i="1"/>
  <c r="L162" i="1"/>
  <c r="L73" i="1"/>
  <c r="L137" i="1"/>
  <c r="L201" i="1"/>
  <c r="L11" i="1"/>
  <c r="L56" i="1"/>
  <c r="L120" i="1"/>
  <c r="L184" i="1"/>
  <c r="L71" i="1"/>
  <c r="L135" i="1"/>
  <c r="L199" i="1"/>
  <c r="L12" i="1"/>
  <c r="L46" i="1"/>
  <c r="L110" i="1"/>
  <c r="L174" i="1"/>
  <c r="J159" i="1"/>
  <c r="J85" i="1"/>
  <c r="J213" i="1"/>
  <c r="J4" i="1"/>
  <c r="J161" i="1"/>
  <c r="J78" i="1"/>
  <c r="J206" i="1"/>
  <c r="J124" i="1"/>
  <c r="J191" i="1"/>
  <c r="J61" i="1"/>
  <c r="J189" i="1"/>
  <c r="J72" i="1"/>
  <c r="I3" i="1"/>
  <c r="J54" i="1"/>
  <c r="J182" i="1"/>
  <c r="J68" i="1"/>
  <c r="J196" i="1"/>
  <c r="J95" i="1"/>
  <c r="J126" i="1"/>
  <c r="J155" i="1"/>
  <c r="J158" i="1"/>
  <c r="J204" i="1"/>
  <c r="J152" i="1"/>
  <c r="L90" i="1"/>
  <c r="L193" i="1"/>
  <c r="L38" i="1"/>
  <c r="J13" i="1"/>
  <c r="L51" i="1"/>
  <c r="L85" i="1"/>
  <c r="L49" i="1"/>
  <c r="L96" i="1"/>
  <c r="L111" i="1"/>
  <c r="J19" i="1"/>
  <c r="J141" i="1"/>
  <c r="L171" i="1"/>
  <c r="L156" i="1"/>
  <c r="L4" i="1"/>
  <c r="L52" i="1"/>
  <c r="L115" i="1"/>
  <c r="L204" i="1"/>
  <c r="L8" i="1"/>
  <c r="L69" i="1"/>
  <c r="L133" i="1"/>
  <c r="L197" i="1"/>
  <c r="L58" i="1"/>
  <c r="L122" i="1"/>
  <c r="L186" i="1"/>
  <c r="L33" i="1"/>
  <c r="L97" i="1"/>
  <c r="K98" i="1" s="1"/>
  <c r="L161" i="1"/>
  <c r="L80" i="1"/>
  <c r="L144" i="1"/>
  <c r="L208" i="1"/>
  <c r="L10" i="1"/>
  <c r="L31" i="1"/>
  <c r="L95" i="1"/>
  <c r="L159" i="1"/>
  <c r="L70" i="1"/>
  <c r="L134" i="1"/>
  <c r="K135" i="1" s="1"/>
  <c r="L198" i="1"/>
  <c r="J25" i="1"/>
  <c r="J153" i="1"/>
  <c r="J70" i="1"/>
  <c r="J198" i="1"/>
  <c r="J20" i="1"/>
  <c r="J17" i="1"/>
  <c r="J148" i="1"/>
  <c r="J67" i="1"/>
  <c r="J195" i="1"/>
  <c r="J74" i="1"/>
  <c r="J202" i="1"/>
  <c r="J119" i="1"/>
  <c r="I4" i="1"/>
  <c r="J14" i="1"/>
  <c r="J43" i="1"/>
  <c r="J171" i="1"/>
  <c r="J50" i="1"/>
  <c r="J178" i="1"/>
  <c r="J96" i="1"/>
  <c r="J41" i="1"/>
  <c r="J169" i="1"/>
  <c r="J115" i="1"/>
  <c r="J26" i="1"/>
  <c r="J154" i="1"/>
  <c r="J69" i="1"/>
  <c r="J197" i="1"/>
  <c r="J145" i="1"/>
  <c r="J172" i="1"/>
  <c r="J130" i="1"/>
  <c r="J18" i="1"/>
  <c r="J59" i="1"/>
  <c r="L21" i="1"/>
  <c r="L138" i="1"/>
  <c r="L177" i="1"/>
  <c r="K178" i="1" s="1"/>
  <c r="L203" i="1"/>
  <c r="L99" i="1"/>
  <c r="L36" i="1"/>
  <c r="L5" i="1"/>
  <c r="L15" i="1"/>
  <c r="K16" i="1" s="1"/>
  <c r="L83" i="1"/>
  <c r="L148" i="1"/>
  <c r="L59" i="1"/>
  <c r="K60" i="1" s="1"/>
  <c r="L107" i="1"/>
  <c r="L44" i="1"/>
  <c r="L29" i="1"/>
  <c r="L93" i="1"/>
  <c r="L157" i="1"/>
  <c r="L82" i="1"/>
  <c r="L146" i="1"/>
  <c r="L210" i="1"/>
  <c r="K211" i="1" s="1"/>
  <c r="L57" i="1"/>
  <c r="L121" i="1"/>
  <c r="L185" i="1"/>
  <c r="L40" i="1"/>
  <c r="K41" i="1" s="1"/>
  <c r="L104" i="1"/>
  <c r="K105" i="1" s="1"/>
  <c r="L168" i="1"/>
  <c r="K169" i="1" s="1"/>
  <c r="L55" i="1"/>
  <c r="K56" i="1" s="1"/>
  <c r="L119" i="1"/>
  <c r="K120" i="1" s="1"/>
  <c r="L183" i="1"/>
  <c r="L30" i="1"/>
  <c r="L94" i="1"/>
  <c r="K95" i="1" s="1"/>
  <c r="L158" i="1"/>
  <c r="AT41" i="2"/>
  <c r="AT39" i="2"/>
  <c r="J57" i="1"/>
  <c r="J22" i="1"/>
  <c r="J117" i="1"/>
  <c r="J55" i="1"/>
  <c r="J65" i="1"/>
  <c r="J193" i="1"/>
  <c r="J110" i="1"/>
  <c r="J28" i="1"/>
  <c r="J156" i="1"/>
  <c r="J151" i="1"/>
  <c r="J93" i="1"/>
  <c r="J88" i="1"/>
  <c r="J86" i="1"/>
  <c r="J214" i="1"/>
  <c r="J100" i="1"/>
  <c r="J183" i="1"/>
  <c r="J190" i="1"/>
  <c r="J23" i="1"/>
  <c r="J34" i="1"/>
  <c r="L102" i="1"/>
  <c r="L166" i="1"/>
  <c r="J134" i="1"/>
  <c r="J84" i="1"/>
  <c r="J107" i="1"/>
  <c r="J207" i="1"/>
  <c r="J51" i="1"/>
  <c r="J113" i="1"/>
  <c r="L175" i="1"/>
  <c r="L86" i="1"/>
  <c r="J168" i="1"/>
  <c r="J39" i="1"/>
  <c r="J45" i="1"/>
  <c r="J173" i="1"/>
  <c r="L43" i="1"/>
  <c r="L195" i="1"/>
  <c r="L155" i="1"/>
  <c r="L13" i="1"/>
  <c r="L92" i="1"/>
  <c r="L100" i="1"/>
  <c r="K101" i="1" s="1"/>
  <c r="L3" i="1"/>
  <c r="L140" i="1"/>
  <c r="L53" i="1"/>
  <c r="L117" i="1"/>
  <c r="L181" i="1"/>
  <c r="L42" i="1"/>
  <c r="L106" i="1"/>
  <c r="L170" i="1"/>
  <c r="L81" i="1"/>
  <c r="L145" i="1"/>
  <c r="L209" i="1"/>
  <c r="L64" i="1"/>
  <c r="L128" i="1"/>
  <c r="L192" i="1"/>
  <c r="L79" i="1"/>
  <c r="L143" i="1"/>
  <c r="L207" i="1"/>
  <c r="L54" i="1"/>
  <c r="L118" i="1"/>
  <c r="L182" i="1"/>
  <c r="J185" i="1"/>
  <c r="J102" i="1"/>
  <c r="J52" i="1"/>
  <c r="J180" i="1"/>
  <c r="J99" i="1"/>
  <c r="J106" i="1"/>
  <c r="J112" i="1"/>
  <c r="J79" i="1"/>
  <c r="J75" i="1"/>
  <c r="J203" i="1"/>
  <c r="J82" i="1"/>
  <c r="J210" i="1"/>
  <c r="J56" i="1"/>
  <c r="J10" i="1"/>
  <c r="J3" i="1"/>
  <c r="J201" i="1"/>
  <c r="J5" i="1"/>
  <c r="J16" i="1"/>
  <c r="J147" i="1"/>
  <c r="J58" i="1"/>
  <c r="J186" i="1"/>
  <c r="J120" i="1"/>
  <c r="J101" i="1"/>
  <c r="J209" i="1"/>
  <c r="J194" i="1"/>
  <c r="J49" i="1"/>
  <c r="X18" i="2"/>
  <c r="L18" i="2"/>
  <c r="AK18" i="2"/>
  <c r="AB18" i="2"/>
  <c r="AP19" i="2"/>
  <c r="K65" i="1" l="1"/>
  <c r="K176" i="1"/>
  <c r="K151" i="1"/>
  <c r="J257" i="1"/>
  <c r="K9" i="1"/>
  <c r="J246" i="1"/>
  <c r="K160" i="1"/>
  <c r="K184" i="1"/>
  <c r="J228" i="1"/>
  <c r="J216" i="1"/>
  <c r="J222" i="1"/>
  <c r="K146" i="1"/>
  <c r="K17" i="1"/>
  <c r="K107" i="1"/>
  <c r="K68" i="1"/>
  <c r="K88" i="1"/>
  <c r="J240" i="1"/>
  <c r="J236" i="1"/>
  <c r="J229" i="1"/>
  <c r="J221" i="1"/>
  <c r="K26" i="1"/>
  <c r="J234" i="1"/>
  <c r="J227" i="1"/>
  <c r="J238" i="1"/>
  <c r="K63" i="1"/>
  <c r="J230" i="1"/>
  <c r="J219" i="1"/>
  <c r="J242" i="1"/>
  <c r="K83" i="1"/>
  <c r="K123" i="1"/>
  <c r="K47" i="1"/>
  <c r="K55" i="1"/>
  <c r="K132" i="1"/>
  <c r="J241" i="1"/>
  <c r="K154" i="1"/>
  <c r="K205" i="1"/>
  <c r="K72" i="1"/>
  <c r="K6" i="1"/>
  <c r="K32" i="1"/>
  <c r="K22" i="1"/>
  <c r="K108" i="1"/>
  <c r="K147" i="1"/>
  <c r="K215" i="1"/>
  <c r="J237" i="1"/>
  <c r="J224" i="1"/>
  <c r="K34" i="1"/>
  <c r="K129" i="1"/>
  <c r="K167" i="1"/>
  <c r="K96" i="1"/>
  <c r="K213" i="1"/>
  <c r="J223" i="1"/>
  <c r="J226" i="1"/>
  <c r="K186" i="1"/>
  <c r="K37" i="1"/>
  <c r="K122" i="1"/>
  <c r="K87" i="1"/>
  <c r="K172" i="1"/>
  <c r="Z18" i="2"/>
  <c r="O18" i="2" s="1"/>
  <c r="K144" i="1"/>
  <c r="K30" i="1"/>
  <c r="K11" i="1"/>
  <c r="K50" i="1"/>
  <c r="K124" i="1"/>
  <c r="K156" i="1"/>
  <c r="K200" i="1"/>
  <c r="K46" i="1"/>
  <c r="J239" i="1"/>
  <c r="K14" i="1"/>
  <c r="K183" i="1"/>
  <c r="K196" i="1"/>
  <c r="K103" i="1"/>
  <c r="K139" i="1"/>
  <c r="K39" i="1"/>
  <c r="K74" i="1"/>
  <c r="K44" i="1"/>
  <c r="K84" i="1"/>
  <c r="K194" i="1"/>
  <c r="K28" i="1"/>
  <c r="K23" i="1"/>
  <c r="K76" i="1"/>
  <c r="K58" i="1"/>
  <c r="K91" i="1"/>
  <c r="K130" i="1"/>
  <c r="K180" i="1"/>
  <c r="K208" i="1"/>
  <c r="K114" i="1"/>
  <c r="K19" i="1"/>
  <c r="K141" i="1"/>
  <c r="K112" i="1"/>
  <c r="K159" i="1"/>
  <c r="K116" i="1"/>
  <c r="K61" i="1"/>
  <c r="K82" i="1"/>
  <c r="K93" i="1"/>
  <c r="K31" i="1"/>
  <c r="K75" i="1"/>
  <c r="K24" i="1"/>
  <c r="K193" i="1"/>
  <c r="K188" i="1"/>
  <c r="K67" i="1"/>
  <c r="K118" i="1"/>
  <c r="K71" i="1"/>
  <c r="K162" i="1"/>
  <c r="K137" i="1"/>
  <c r="K204" i="1"/>
  <c r="K199" i="1"/>
  <c r="K52" i="1"/>
  <c r="K202" i="1"/>
  <c r="L255" i="1"/>
  <c r="L226" i="1"/>
  <c r="L252" i="1"/>
  <c r="L242" i="1"/>
  <c r="J261" i="1"/>
  <c r="L241" i="1"/>
  <c r="L229" i="1"/>
  <c r="K229" i="1" s="1"/>
  <c r="K119" i="1"/>
  <c r="K210" i="1"/>
  <c r="K54" i="1"/>
  <c r="K149" i="1"/>
  <c r="K136" i="1"/>
  <c r="K7" i="1"/>
  <c r="K64" i="1"/>
  <c r="K69" i="1"/>
  <c r="L233" i="1"/>
  <c r="J258" i="1"/>
  <c r="L253" i="1"/>
  <c r="L259" i="1"/>
  <c r="K259" i="1" s="1"/>
  <c r="L219" i="1"/>
  <c r="L217" i="1"/>
  <c r="K218" i="1" s="1"/>
  <c r="K207" i="1"/>
  <c r="K25" i="1"/>
  <c r="J260" i="1"/>
  <c r="L260" i="1"/>
  <c r="L247" i="1"/>
  <c r="L235" i="1"/>
  <c r="L238" i="1"/>
  <c r="L251" i="1"/>
  <c r="K252" i="1" s="1"/>
  <c r="L244" i="1"/>
  <c r="J259" i="1"/>
  <c r="J250" i="1"/>
  <c r="L243" i="1"/>
  <c r="J251" i="1"/>
  <c r="J254" i="1"/>
  <c r="J249" i="1"/>
  <c r="L250" i="1"/>
  <c r="L223" i="1"/>
  <c r="K224" i="1" s="1"/>
  <c r="J252" i="1"/>
  <c r="L220" i="1"/>
  <c r="K221" i="1" s="1"/>
  <c r="L246" i="1"/>
  <c r="K171" i="1"/>
  <c r="K94" i="1"/>
  <c r="K187" i="1"/>
  <c r="K97" i="1"/>
  <c r="K66" i="1"/>
  <c r="K8" i="1"/>
  <c r="K152" i="1"/>
  <c r="J247" i="1"/>
  <c r="L245" i="1"/>
  <c r="L216" i="1"/>
  <c r="L236" i="1"/>
  <c r="K237" i="1" s="1"/>
  <c r="J245" i="1"/>
  <c r="L227" i="1"/>
  <c r="K228" i="1" s="1"/>
  <c r="L231" i="1"/>
  <c r="L257" i="1"/>
  <c r="K258" i="1" s="1"/>
  <c r="K80" i="1"/>
  <c r="K53" i="1"/>
  <c r="K173" i="1"/>
  <c r="K36" i="1"/>
  <c r="J253" i="1"/>
  <c r="G262" i="1"/>
  <c r="J310" i="1" s="1"/>
  <c r="L240" i="1"/>
  <c r="K241" i="1" s="1"/>
  <c r="J256" i="1"/>
  <c r="L225" i="1"/>
  <c r="J255" i="1"/>
  <c r="L254" i="1"/>
  <c r="J248" i="1"/>
  <c r="L230" i="1"/>
  <c r="L248" i="1"/>
  <c r="J243" i="1"/>
  <c r="K45" i="1"/>
  <c r="K100" i="1"/>
  <c r="K164" i="1"/>
  <c r="L222" i="1"/>
  <c r="J300" i="1"/>
  <c r="L249" i="1"/>
  <c r="K250" i="1" s="1"/>
  <c r="J244" i="1"/>
  <c r="L261" i="1"/>
  <c r="K262" i="1" s="1"/>
  <c r="L256" i="1"/>
  <c r="L232" i="1"/>
  <c r="L234" i="1"/>
  <c r="L239" i="1"/>
  <c r="K163" i="1"/>
  <c r="J220" i="1"/>
  <c r="K115" i="1"/>
  <c r="K15" i="1"/>
  <c r="K38" i="1"/>
  <c r="K142" i="1"/>
  <c r="K189" i="1"/>
  <c r="K117" i="1"/>
  <c r="K3" i="1"/>
  <c r="K4" i="1"/>
  <c r="K158" i="1"/>
  <c r="K185" i="1"/>
  <c r="K99" i="1"/>
  <c r="K161" i="1"/>
  <c r="J235" i="1"/>
  <c r="K201" i="1"/>
  <c r="K51" i="1"/>
  <c r="K125" i="1"/>
  <c r="K181" i="1"/>
  <c r="K143" i="1"/>
  <c r="K170" i="1"/>
  <c r="K78" i="1"/>
  <c r="K175" i="1"/>
  <c r="K121" i="1"/>
  <c r="K190" i="1"/>
  <c r="K29" i="1"/>
  <c r="K79" i="1"/>
  <c r="K106" i="1"/>
  <c r="K133" i="1"/>
  <c r="K192" i="1"/>
  <c r="K111" i="1"/>
  <c r="K57" i="1"/>
  <c r="K203" i="1"/>
  <c r="K128" i="1"/>
  <c r="AT47" i="2"/>
  <c r="P4" i="2"/>
  <c r="P9" i="2"/>
  <c r="K127" i="1"/>
  <c r="K73" i="1"/>
  <c r="K126" i="1"/>
  <c r="K168" i="1"/>
  <c r="K42" i="1"/>
  <c r="K148" i="1"/>
  <c r="K177" i="1"/>
  <c r="K33" i="1"/>
  <c r="K43" i="1"/>
  <c r="K209" i="1"/>
  <c r="K59" i="1"/>
  <c r="K5" i="1"/>
  <c r="K86" i="1"/>
  <c r="K12" i="1"/>
  <c r="K174" i="1"/>
  <c r="AT63" i="2"/>
  <c r="K214" i="1"/>
  <c r="K62" i="1"/>
  <c r="J232" i="1"/>
  <c r="K104" i="1"/>
  <c r="K195" i="1"/>
  <c r="K92" i="1"/>
  <c r="K102" i="1"/>
  <c r="K18" i="1"/>
  <c r="K182" i="1"/>
  <c r="K145" i="1"/>
  <c r="K198" i="1"/>
  <c r="K157" i="1"/>
  <c r="K13" i="1"/>
  <c r="K110" i="1"/>
  <c r="K166" i="1"/>
  <c r="K90" i="1"/>
  <c r="K21" i="1"/>
  <c r="K113" i="1"/>
  <c r="J217" i="1"/>
  <c r="K40" i="1"/>
  <c r="K131" i="1"/>
  <c r="K85" i="1"/>
  <c r="J233" i="1"/>
  <c r="K20" i="1"/>
  <c r="K49" i="1"/>
  <c r="K81" i="1"/>
  <c r="K134" i="1"/>
  <c r="K138" i="1"/>
  <c r="K140" i="1"/>
  <c r="K10" i="1"/>
  <c r="J231" i="1"/>
  <c r="K153" i="1"/>
  <c r="K165" i="1"/>
  <c r="K150" i="1"/>
  <c r="K77" i="1"/>
  <c r="K70" i="1"/>
  <c r="K109" i="1"/>
  <c r="J218" i="1"/>
  <c r="K197" i="1"/>
  <c r="K179" i="1"/>
  <c r="K155" i="1"/>
  <c r="J225" i="1"/>
  <c r="K89" i="1"/>
  <c r="K206" i="1"/>
  <c r="K27" i="1"/>
  <c r="K212" i="1"/>
  <c r="V18" i="2"/>
  <c r="P18" i="2"/>
  <c r="AO19" i="2"/>
  <c r="AC18" i="2"/>
  <c r="H19" i="2"/>
  <c r="E19" i="2"/>
  <c r="J267" i="1" l="1"/>
  <c r="K255" i="1"/>
  <c r="K223" i="1"/>
  <c r="J312" i="1"/>
  <c r="K247" i="1"/>
  <c r="K226" i="1"/>
  <c r="K231" i="1"/>
  <c r="K235" i="1"/>
  <c r="J313" i="1"/>
  <c r="J308" i="1"/>
  <c r="K233" i="1"/>
  <c r="K257" i="1"/>
  <c r="J286" i="1"/>
  <c r="J304" i="1"/>
  <c r="J280" i="1"/>
  <c r="J298" i="1"/>
  <c r="J307" i="1"/>
  <c r="J314" i="1"/>
  <c r="J270" i="1"/>
  <c r="J306" i="1"/>
  <c r="J309" i="1"/>
  <c r="J278" i="1"/>
  <c r="J303" i="1"/>
  <c r="J311" i="1"/>
  <c r="J297" i="1"/>
  <c r="J305" i="1"/>
  <c r="K240" i="1"/>
  <c r="W19" i="2"/>
  <c r="K244" i="1"/>
  <c r="K239" i="1"/>
  <c r="K251" i="1"/>
  <c r="K246" i="1"/>
  <c r="K243" i="1"/>
  <c r="K217" i="1"/>
  <c r="J262" i="1"/>
  <c r="J289" i="1"/>
  <c r="J299" i="1"/>
  <c r="K236" i="1"/>
  <c r="J266" i="1"/>
  <c r="K234" i="1"/>
  <c r="J288" i="1"/>
  <c r="J274" i="1"/>
  <c r="J273" i="1"/>
  <c r="K249" i="1"/>
  <c r="J277" i="1"/>
  <c r="K222" i="1"/>
  <c r="J281" i="1"/>
  <c r="K248" i="1"/>
  <c r="K220" i="1"/>
  <c r="J269" i="1"/>
  <c r="K253" i="1"/>
  <c r="J285" i="1"/>
  <c r="J302" i="1"/>
  <c r="J287" i="1"/>
  <c r="J279" i="1"/>
  <c r="K261" i="1"/>
  <c r="J264" i="1"/>
  <c r="K219" i="1"/>
  <c r="I262" i="1"/>
  <c r="J272" i="1"/>
  <c r="B20" i="1"/>
  <c r="B21" i="1" s="1"/>
  <c r="J293" i="1"/>
  <c r="J292" i="1"/>
  <c r="J290" i="1"/>
  <c r="J268" i="1"/>
  <c r="J296" i="1"/>
  <c r="K230" i="1"/>
  <c r="K227" i="1"/>
  <c r="J265" i="1"/>
  <c r="J291" i="1"/>
  <c r="J263" i="1"/>
  <c r="K245" i="1"/>
  <c r="K260" i="1"/>
  <c r="J301" i="1"/>
  <c r="J294" i="1"/>
  <c r="K238" i="1"/>
  <c r="J275" i="1"/>
  <c r="K232" i="1"/>
  <c r="J276" i="1"/>
  <c r="J283" i="1"/>
  <c r="J295" i="1"/>
  <c r="J284" i="1"/>
  <c r="K242" i="1"/>
  <c r="K256" i="1"/>
  <c r="K225" i="1"/>
  <c r="J271" i="1"/>
  <c r="K216" i="1"/>
  <c r="K254" i="1"/>
  <c r="J282" i="1"/>
  <c r="AI19" i="2"/>
  <c r="U18" i="2"/>
  <c r="D20" i="2"/>
  <c r="J4" i="2"/>
  <c r="C19" i="2"/>
  <c r="AN19" i="2"/>
  <c r="AM19" i="2"/>
  <c r="J19" i="2"/>
  <c r="C20" i="2"/>
  <c r="AF18" i="2" l="1"/>
  <c r="AF19" i="2" s="1"/>
  <c r="AF20" i="2" s="1"/>
  <c r="Y19" i="2"/>
  <c r="AJ19" i="2"/>
  <c r="AL19" i="2"/>
  <c r="C21" i="2"/>
  <c r="C22" i="2"/>
  <c r="R10" i="2"/>
  <c r="AT65" i="2"/>
  <c r="M7" i="2"/>
  <c r="I19" i="2" l="1"/>
  <c r="X19" i="2"/>
  <c r="Z19" i="2" s="1"/>
  <c r="N19" i="2"/>
  <c r="M19" i="2"/>
  <c r="AF21" i="2"/>
  <c r="AG18" i="2"/>
  <c r="AH18" i="2"/>
  <c r="C23" i="2"/>
  <c r="K19" i="2"/>
  <c r="AM20" i="2"/>
  <c r="AC19" i="2"/>
  <c r="C24" i="2"/>
  <c r="AR19" i="2"/>
  <c r="AQ19" i="2"/>
  <c r="AH19" i="2" l="1"/>
  <c r="AF22" i="2"/>
  <c r="W20" i="2"/>
  <c r="C25" i="2"/>
  <c r="AK19" i="2"/>
  <c r="AB19" i="2"/>
  <c r="L19" i="2"/>
  <c r="C26" i="2"/>
  <c r="AP20" i="2"/>
  <c r="AN20" i="2"/>
  <c r="C27" i="2"/>
  <c r="C28" i="2"/>
  <c r="C29" i="2"/>
  <c r="C30" i="2"/>
  <c r="C31" i="2"/>
  <c r="C32" i="2"/>
  <c r="C33" i="2"/>
  <c r="C34" i="2"/>
  <c r="C35" i="2"/>
  <c r="C36" i="2"/>
  <c r="C37" i="2"/>
  <c r="C38" i="2"/>
  <c r="C39" i="2"/>
  <c r="C40" i="2"/>
  <c r="C41" i="2"/>
  <c r="C42" i="2"/>
  <c r="C43" i="2"/>
  <c r="C44" i="2"/>
  <c r="C45" i="2"/>
  <c r="C46" i="2"/>
  <c r="C47" i="2"/>
  <c r="C48" i="2"/>
  <c r="C49" i="2"/>
  <c r="C50" i="2"/>
  <c r="C51" i="2"/>
  <c r="C52" i="2"/>
  <c r="C53" i="2"/>
  <c r="C54" i="2"/>
  <c r="C55" i="2"/>
  <c r="C56" i="2"/>
  <c r="C57" i="2"/>
  <c r="C58" i="2"/>
  <c r="C59" i="2"/>
  <c r="C60" i="2"/>
  <c r="C61" i="2"/>
  <c r="C62" i="2"/>
  <c r="C63" i="2"/>
  <c r="C64" i="2"/>
  <c r="C65" i="2"/>
  <c r="C66" i="2"/>
  <c r="C67" i="2"/>
  <c r="C68" i="2"/>
  <c r="C69" i="2"/>
  <c r="C70" i="2"/>
  <c r="C71" i="2"/>
  <c r="C72" i="2"/>
  <c r="C73" i="2"/>
  <c r="C74" i="2"/>
  <c r="C75" i="2"/>
  <c r="C76" i="2"/>
  <c r="C77" i="2"/>
  <c r="C78" i="2"/>
  <c r="C79" i="2"/>
  <c r="C80" i="2"/>
  <c r="C81" i="2"/>
  <c r="C82" i="2"/>
  <c r="C83" i="2"/>
  <c r="C84" i="2"/>
  <c r="C85" i="2"/>
  <c r="C86" i="2"/>
  <c r="C87" i="2"/>
  <c r="C88" i="2"/>
  <c r="C89" i="2"/>
  <c r="C90" i="2"/>
  <c r="C91" i="2"/>
  <c r="C92" i="2"/>
  <c r="C93" i="2"/>
  <c r="C94" i="2"/>
  <c r="C95" i="2"/>
  <c r="C96" i="2"/>
  <c r="C97" i="2"/>
  <c r="C98" i="2"/>
  <c r="C99" i="2"/>
  <c r="C100" i="2"/>
  <c r="C101" i="2"/>
  <c r="C102" i="2"/>
  <c r="C103" i="2"/>
  <c r="C104" i="2"/>
  <c r="C105" i="2"/>
  <c r="C106" i="2"/>
  <c r="C107" i="2"/>
  <c r="C108" i="2"/>
  <c r="C109" i="2"/>
  <c r="C110" i="2"/>
  <c r="C111" i="2"/>
  <c r="C112" i="2"/>
  <c r="C113" i="2"/>
  <c r="C114" i="2"/>
  <c r="C115" i="2"/>
  <c r="C116" i="2"/>
  <c r="C117" i="2"/>
  <c r="C118" i="2"/>
  <c r="C119" i="2"/>
  <c r="C120" i="2"/>
  <c r="C121" i="2"/>
  <c r="C122" i="2"/>
  <c r="C123" i="2"/>
  <c r="C124" i="2"/>
  <c r="C125" i="2"/>
  <c r="C126" i="2"/>
  <c r="C127" i="2"/>
  <c r="C128" i="2"/>
  <c r="C129" i="2"/>
  <c r="C130" i="2"/>
  <c r="C131" i="2"/>
  <c r="C132" i="2"/>
  <c r="C133" i="2"/>
  <c r="C134" i="2"/>
  <c r="C135" i="2"/>
  <c r="C136" i="2"/>
  <c r="C137" i="2"/>
  <c r="C138" i="2"/>
  <c r="C139" i="2"/>
  <c r="C140" i="2"/>
  <c r="C141" i="2"/>
  <c r="C142" i="2"/>
  <c r="C143" i="2"/>
  <c r="C144" i="2"/>
  <c r="C145" i="2"/>
  <c r="C146" i="2"/>
  <c r="C147" i="2"/>
  <c r="C148" i="2"/>
  <c r="C149" i="2"/>
  <c r="C150" i="2"/>
  <c r="C151" i="2"/>
  <c r="C152" i="2"/>
  <c r="C153" i="2"/>
  <c r="C154" i="2"/>
  <c r="C155" i="2"/>
  <c r="C156" i="2"/>
  <c r="C157" i="2"/>
  <c r="C158" i="2"/>
  <c r="C159" i="2"/>
  <c r="C160" i="2"/>
  <c r="C161" i="2"/>
  <c r="C162" i="2"/>
  <c r="C163" i="2"/>
  <c r="C164" i="2"/>
  <c r="C165" i="2"/>
  <c r="C166" i="2"/>
  <c r="C167" i="2"/>
  <c r="C168" i="2"/>
  <c r="C169" i="2"/>
  <c r="C170" i="2"/>
  <c r="C171" i="2"/>
  <c r="C172" i="2"/>
  <c r="C173" i="2"/>
  <c r="C174" i="2"/>
  <c r="C175" i="2"/>
  <c r="C176" i="2"/>
  <c r="C177" i="2"/>
  <c r="C178" i="2"/>
  <c r="C179" i="2"/>
  <c r="C180" i="2"/>
  <c r="C181" i="2"/>
  <c r="C182" i="2"/>
  <c r="C183" i="2"/>
  <c r="C184" i="2"/>
  <c r="C185" i="2"/>
  <c r="C186" i="2"/>
  <c r="C187" i="2"/>
  <c r="C188" i="2"/>
  <c r="C189" i="2"/>
  <c r="C190" i="2"/>
  <c r="C191" i="2"/>
  <c r="C192" i="2"/>
  <c r="C193" i="2"/>
  <c r="C194" i="2"/>
  <c r="C195" i="2"/>
  <c r="C196" i="2"/>
  <c r="C197" i="2"/>
  <c r="C198" i="2"/>
  <c r="C199" i="2"/>
  <c r="C200" i="2"/>
  <c r="C201" i="2"/>
  <c r="C202" i="2"/>
  <c r="C203" i="2"/>
  <c r="C204" i="2"/>
  <c r="C205" i="2"/>
  <c r="C206" i="2"/>
  <c r="C207" i="2"/>
  <c r="C208" i="2"/>
  <c r="C209" i="2"/>
  <c r="C210" i="2"/>
  <c r="C211" i="2"/>
  <c r="C212" i="2"/>
  <c r="C213" i="2"/>
  <c r="C214" i="2"/>
  <c r="C215" i="2"/>
  <c r="C216" i="2"/>
  <c r="C217" i="2"/>
  <c r="C218" i="2"/>
  <c r="C219" i="2"/>
  <c r="C220" i="2"/>
  <c r="C221" i="2"/>
  <c r="C222" i="2"/>
  <c r="C223" i="2"/>
  <c r="C224" i="2"/>
  <c r="C225" i="2"/>
  <c r="C226" i="2"/>
  <c r="C227" i="2"/>
  <c r="C228" i="2"/>
  <c r="C229" i="2"/>
  <c r="C230" i="2"/>
  <c r="C231" i="2"/>
  <c r="C232" i="2"/>
  <c r="C233" i="2"/>
  <c r="C234" i="2"/>
  <c r="C235" i="2"/>
  <c r="C236" i="2"/>
  <c r="C237" i="2"/>
  <c r="C238" i="2"/>
  <c r="C239" i="2"/>
  <c r="C240" i="2"/>
  <c r="C241" i="2"/>
  <c r="C242" i="2"/>
  <c r="C243" i="2"/>
  <c r="C244" i="2"/>
  <c r="C245" i="2"/>
  <c r="C246" i="2"/>
  <c r="C247" i="2"/>
  <c r="C248" i="2"/>
  <c r="C249" i="2"/>
  <c r="C250" i="2"/>
  <c r="C251" i="2"/>
  <c r="C252" i="2"/>
  <c r="C253" i="2"/>
  <c r="C254" i="2"/>
  <c r="C255" i="2"/>
  <c r="C256" i="2"/>
  <c r="C257" i="2"/>
  <c r="C258" i="2"/>
  <c r="C259" i="2"/>
  <c r="C260" i="2"/>
  <c r="C261" i="2"/>
  <c r="C262" i="2"/>
  <c r="C263" i="2"/>
  <c r="C264" i="2"/>
  <c r="C265" i="2"/>
  <c r="C266" i="2"/>
  <c r="C267" i="2"/>
  <c r="C268" i="2"/>
  <c r="C269" i="2"/>
  <c r="C270" i="2"/>
  <c r="C271" i="2"/>
  <c r="C272" i="2"/>
  <c r="C273" i="2"/>
  <c r="C274" i="2"/>
  <c r="C275" i="2"/>
  <c r="C276" i="2"/>
  <c r="C277" i="2"/>
  <c r="C278" i="2"/>
  <c r="C279" i="2"/>
  <c r="C280" i="2"/>
  <c r="C281" i="2"/>
  <c r="C282" i="2"/>
  <c r="C283" i="2"/>
  <c r="C284" i="2"/>
  <c r="C285" i="2"/>
  <c r="C286" i="2"/>
  <c r="C287" i="2"/>
  <c r="C288" i="2"/>
  <c r="C289" i="2"/>
  <c r="C290" i="2"/>
  <c r="C291" i="2"/>
  <c r="C292" i="2"/>
  <c r="C293" i="2"/>
  <c r="C294" i="2"/>
  <c r="C295" i="2"/>
  <c r="C296" i="2"/>
  <c r="C297" i="2"/>
  <c r="C298" i="2"/>
  <c r="C299" i="2"/>
  <c r="C300" i="2"/>
  <c r="C301" i="2"/>
  <c r="C302" i="2"/>
  <c r="C303" i="2"/>
  <c r="C304" i="2"/>
  <c r="C305" i="2"/>
  <c r="C306" i="2"/>
  <c r="C307" i="2"/>
  <c r="C308" i="2"/>
  <c r="C309" i="2"/>
  <c r="C310" i="2"/>
  <c r="C311" i="2"/>
  <c r="C312" i="2"/>
  <c r="C313" i="2"/>
  <c r="C314" i="2"/>
  <c r="C315" i="2"/>
  <c r="C316" i="2"/>
  <c r="C317" i="2"/>
  <c r="C318" i="2"/>
  <c r="C319" i="2"/>
  <c r="C320" i="2"/>
  <c r="C321" i="2"/>
  <c r="C322" i="2"/>
  <c r="C323" i="2"/>
  <c r="C324" i="2"/>
  <c r="C325" i="2"/>
  <c r="C326" i="2"/>
  <c r="C327" i="2"/>
  <c r="C328" i="2"/>
  <c r="C329" i="2"/>
  <c r="C330" i="2"/>
  <c r="C331" i="2"/>
  <c r="C332" i="2"/>
  <c r="C333" i="2"/>
  <c r="C334" i="2"/>
  <c r="C335" i="2"/>
  <c r="C336" i="2"/>
  <c r="C337" i="2"/>
  <c r="C338" i="2"/>
  <c r="C339" i="2"/>
  <c r="C340" i="2"/>
  <c r="C341" i="2"/>
  <c r="C342" i="2"/>
  <c r="C343" i="2"/>
  <c r="C344" i="2"/>
  <c r="C345" i="2"/>
  <c r="C346" i="2"/>
  <c r="C347" i="2"/>
  <c r="C348" i="2"/>
  <c r="C349" i="2"/>
  <c r="C350" i="2"/>
  <c r="C351" i="2"/>
  <c r="C352" i="2"/>
  <c r="C353" i="2"/>
  <c r="C354" i="2"/>
  <c r="C355" i="2"/>
  <c r="C356" i="2"/>
  <c r="C357" i="2"/>
  <c r="C358" i="2"/>
  <c r="C359" i="2"/>
  <c r="C360" i="2"/>
  <c r="C361" i="2"/>
  <c r="C362" i="2"/>
  <c r="C363" i="2"/>
  <c r="C364" i="2"/>
  <c r="C365" i="2"/>
  <c r="C366" i="2"/>
  <c r="C367" i="2"/>
  <c r="C368" i="2"/>
  <c r="C369" i="2"/>
  <c r="C370" i="2"/>
  <c r="C371" i="2"/>
  <c r="C372" i="2"/>
  <c r="C373" i="2"/>
  <c r="C374" i="2"/>
  <c r="C375" i="2"/>
  <c r="C376" i="2"/>
  <c r="C377" i="2"/>
  <c r="O19" i="2" l="1"/>
  <c r="AG19" i="2"/>
  <c r="AF23" i="2"/>
  <c r="V19" i="2"/>
  <c r="P19" i="2"/>
  <c r="AO20" i="2"/>
  <c r="H20" i="2"/>
  <c r="Y20" i="2"/>
  <c r="AJ20" i="2"/>
  <c r="E20" i="2"/>
  <c r="D21" i="2"/>
  <c r="X20" i="2" l="1"/>
  <c r="U19" i="2"/>
  <c r="J20" i="2"/>
  <c r="AI20" i="2"/>
  <c r="AC20" i="2"/>
  <c r="AL20" i="2"/>
  <c r="AH20" i="2" l="1"/>
  <c r="I20" i="2"/>
  <c r="N20" i="2"/>
  <c r="M20" i="2"/>
  <c r="Z20" i="2"/>
  <c r="AM21" i="2"/>
  <c r="K20" i="2"/>
  <c r="AR20" i="2"/>
  <c r="AQ20" i="2"/>
  <c r="W21" i="2" l="1"/>
  <c r="L20" i="2"/>
  <c r="AB20" i="2"/>
  <c r="AK20" i="2"/>
  <c r="AP21" i="2"/>
  <c r="AN21" i="2"/>
  <c r="AG20" i="2" l="1"/>
  <c r="O20" i="2"/>
  <c r="P20" i="2"/>
  <c r="V20" i="2"/>
  <c r="AJ21" i="2"/>
  <c r="AO21" i="2"/>
  <c r="H21" i="2" s="1"/>
  <c r="Y21" i="2"/>
  <c r="E21" i="2"/>
  <c r="D22" i="2"/>
  <c r="X21" i="2" l="1"/>
  <c r="Z21" i="2" s="1"/>
  <c r="J21" i="2"/>
  <c r="AI21" i="2"/>
  <c r="U20" i="2"/>
  <c r="AL21" i="2"/>
  <c r="N21" i="2" l="1"/>
  <c r="M21" i="2"/>
  <c r="I21" i="2"/>
  <c r="W22" i="2"/>
  <c r="AM22" i="2"/>
  <c r="K21" i="2"/>
  <c r="AC21" i="2"/>
  <c r="AR21" i="2"/>
  <c r="AQ21" i="2"/>
  <c r="AH21" i="2" l="1"/>
  <c r="AK21" i="2"/>
  <c r="AB21" i="2"/>
  <c r="Y22" i="2"/>
  <c r="L21" i="2"/>
  <c r="AJ22" i="2"/>
  <c r="AP22" i="2"/>
  <c r="AN22" i="2"/>
  <c r="O21" i="2" l="1"/>
  <c r="X22" i="2"/>
  <c r="AG21" i="2"/>
  <c r="AO22" i="2"/>
  <c r="V21" i="2"/>
  <c r="P21" i="2"/>
  <c r="AC22" i="2"/>
  <c r="AH22" i="2" l="1"/>
  <c r="Z22" i="2"/>
  <c r="U21" i="2"/>
  <c r="H22" i="2"/>
  <c r="W23" i="2" l="1"/>
  <c r="E22" i="2"/>
  <c r="J22" i="2"/>
  <c r="AI22" i="2"/>
  <c r="AL22" i="2"/>
  <c r="M22" i="2" l="1"/>
  <c r="N22" i="2"/>
  <c r="I22" i="2"/>
  <c r="K22" i="2"/>
  <c r="Y23" i="2"/>
  <c r="D23" i="2"/>
  <c r="AJ23" i="2"/>
  <c r="AR22" i="2"/>
  <c r="AQ22" i="2"/>
  <c r="AM23" i="2"/>
  <c r="X23" i="2" l="1"/>
  <c r="L22" i="2"/>
  <c r="AK22" i="2"/>
  <c r="AB22" i="2"/>
  <c r="AC23" i="2"/>
  <c r="AN23" i="2"/>
  <c r="AP23" i="2"/>
  <c r="AH23" i="2" l="1"/>
  <c r="AG22" i="2"/>
  <c r="O22" i="2"/>
  <c r="Z23" i="2"/>
  <c r="AO23" i="2"/>
  <c r="V22" i="2"/>
  <c r="P22" i="2"/>
  <c r="H23" i="2"/>
  <c r="E23" i="2"/>
  <c r="D24" i="2"/>
  <c r="W24" i="2" l="1"/>
  <c r="J23" i="2"/>
  <c r="AI23" i="2"/>
  <c r="U22" i="2"/>
  <c r="AL23" i="2"/>
  <c r="M23" i="2" l="1"/>
  <c r="N23" i="2"/>
  <c r="I23" i="2"/>
  <c r="AJ24" i="2"/>
  <c r="AM24" i="2"/>
  <c r="K23" i="2"/>
  <c r="Y24" i="2"/>
  <c r="AR23" i="2"/>
  <c r="AQ23" i="2"/>
  <c r="X24" i="2" l="1"/>
  <c r="Z24" i="2" s="1"/>
  <c r="L23" i="2"/>
  <c r="AB23" i="2"/>
  <c r="AK23" i="2"/>
  <c r="AP24" i="2"/>
  <c r="AN24" i="2"/>
  <c r="AG23" i="2" l="1"/>
  <c r="O23" i="2"/>
  <c r="W25" i="2"/>
  <c r="AO24" i="2"/>
  <c r="AC24" i="2"/>
  <c r="V23" i="2"/>
  <c r="P23" i="2"/>
  <c r="H24" i="2"/>
  <c r="E24" i="2"/>
  <c r="D25" i="2"/>
  <c r="U23" i="2"/>
  <c r="J24" i="2"/>
  <c r="AI24" i="2"/>
  <c r="AJ25" i="2"/>
  <c r="Y25" i="2"/>
  <c r="AL24" i="2"/>
  <c r="X25" i="2" l="1"/>
  <c r="N24" i="2"/>
  <c r="M24" i="2"/>
  <c r="I24" i="2"/>
  <c r="AM25" i="2"/>
  <c r="K24" i="2"/>
  <c r="AC25" i="2"/>
  <c r="AR24" i="2"/>
  <c r="AQ24" i="2"/>
  <c r="Z25" i="2" l="1"/>
  <c r="L24" i="2"/>
  <c r="AB24" i="2"/>
  <c r="AK24" i="2"/>
  <c r="AP25" i="2"/>
  <c r="AN25" i="2"/>
  <c r="O24" i="2" l="1"/>
  <c r="W26" i="2"/>
  <c r="V24" i="2"/>
  <c r="AO25" i="2"/>
  <c r="P24" i="2"/>
  <c r="H25" i="2"/>
  <c r="E25" i="2"/>
  <c r="D26" i="2"/>
  <c r="AJ26" i="2"/>
  <c r="AI25" i="2"/>
  <c r="U24" i="2"/>
  <c r="J25" i="2"/>
  <c r="Y26" i="2"/>
  <c r="AL25" i="2"/>
  <c r="X26" i="2" l="1"/>
  <c r="Z26" i="2" s="1"/>
  <c r="M25" i="2"/>
  <c r="N25" i="2"/>
  <c r="I25" i="2"/>
  <c r="AC26" i="2"/>
  <c r="AM26" i="2"/>
  <c r="K25" i="2"/>
  <c r="AR25" i="2"/>
  <c r="AQ25" i="2"/>
  <c r="W27" i="2" l="1"/>
  <c r="L25" i="2"/>
  <c r="AB25" i="2"/>
  <c r="AK25" i="2"/>
  <c r="AP26" i="2"/>
  <c r="AN26" i="2"/>
  <c r="O25" i="2" l="1"/>
  <c r="AO26" i="2"/>
  <c r="H26" i="2" s="1"/>
  <c r="V25" i="2"/>
  <c r="Y27" i="2"/>
  <c r="P25" i="2"/>
  <c r="AJ27" i="2"/>
  <c r="E26" i="2"/>
  <c r="D27" i="2"/>
  <c r="X27" i="2" l="1"/>
  <c r="Z27" i="2" s="1"/>
  <c r="U25" i="2"/>
  <c r="AI26" i="2"/>
  <c r="J26" i="2"/>
  <c r="AL26" i="2"/>
  <c r="M26" i="2" l="1"/>
  <c r="N26" i="2"/>
  <c r="I26" i="2"/>
  <c r="W28" i="2"/>
  <c r="AM27" i="2"/>
  <c r="K26" i="2"/>
  <c r="AC27" i="2"/>
  <c r="AR26" i="2"/>
  <c r="AQ26" i="2"/>
  <c r="L26" i="2"/>
  <c r="AK26" i="2"/>
  <c r="Y28" i="2"/>
  <c r="AB26" i="2"/>
  <c r="AJ28" i="2"/>
  <c r="AP27" i="2"/>
  <c r="AN27" i="2"/>
  <c r="X28" i="2" l="1"/>
  <c r="O26" i="2"/>
  <c r="V26" i="2"/>
  <c r="P26" i="2"/>
  <c r="AO27" i="2"/>
  <c r="H27" i="2" s="1"/>
  <c r="AC28" i="2"/>
  <c r="E27" i="2"/>
  <c r="D28" i="2"/>
  <c r="Z28" i="2" l="1"/>
  <c r="U26" i="2"/>
  <c r="J27" i="2"/>
  <c r="AI27" i="2"/>
  <c r="AL27" i="2"/>
  <c r="M27" i="2" l="1"/>
  <c r="N27" i="2"/>
  <c r="I27" i="2"/>
  <c r="W29" i="2"/>
  <c r="AM28" i="2"/>
  <c r="K27" i="2"/>
  <c r="AQ27" i="2"/>
  <c r="AR27" i="2"/>
  <c r="AK27" i="2"/>
  <c r="L27" i="2"/>
  <c r="AJ29" i="2"/>
  <c r="AB27" i="2"/>
  <c r="Y29" i="2"/>
  <c r="AP28" i="2"/>
  <c r="AN28" i="2"/>
  <c r="X29" i="2" l="1"/>
  <c r="Z29" i="2" s="1"/>
  <c r="O27" i="2"/>
  <c r="P27" i="2"/>
  <c r="V27" i="2"/>
  <c r="AO28" i="2"/>
  <c r="H28" i="2" s="1"/>
  <c r="E28" i="2"/>
  <c r="D29" i="2"/>
  <c r="W30" i="2" l="1"/>
  <c r="U27" i="2"/>
  <c r="AC29" i="2"/>
  <c r="AI28" i="2"/>
  <c r="J28" i="2"/>
  <c r="AL28" i="2"/>
  <c r="M28" i="2" l="1"/>
  <c r="N28" i="2"/>
  <c r="I28" i="2"/>
  <c r="AM29" i="2"/>
  <c r="K28" i="2"/>
  <c r="Y30" i="2"/>
  <c r="AJ30" i="2"/>
  <c r="AR28" i="2"/>
  <c r="AQ28" i="2"/>
  <c r="X30" i="2" l="1"/>
  <c r="L28" i="2"/>
  <c r="AB28" i="2"/>
  <c r="AK28" i="2"/>
  <c r="AC30" i="2"/>
  <c r="AP29" i="2"/>
  <c r="AN29" i="2"/>
  <c r="O28" i="2" l="1"/>
  <c r="Z30" i="2"/>
  <c r="V28" i="2"/>
  <c r="AO29" i="2"/>
  <c r="P28" i="2"/>
  <c r="W31" i="2" l="1"/>
  <c r="H29" i="2"/>
  <c r="U28" i="2"/>
  <c r="E29" i="2"/>
  <c r="D30" i="2"/>
  <c r="J29" i="2"/>
  <c r="AJ31" i="2"/>
  <c r="AI29" i="2"/>
  <c r="Y31" i="2"/>
  <c r="AL29" i="2"/>
  <c r="X31" i="2" l="1"/>
  <c r="Z31" i="2" s="1"/>
  <c r="M29" i="2"/>
  <c r="N29" i="2"/>
  <c r="I29" i="2"/>
  <c r="AM30" i="2"/>
  <c r="K29" i="2"/>
  <c r="AR29" i="2"/>
  <c r="AQ29" i="2"/>
  <c r="W32" i="2" l="1"/>
  <c r="L29" i="2"/>
  <c r="AB29" i="2"/>
  <c r="AK29" i="2"/>
  <c r="AC31" i="2"/>
  <c r="AP30" i="2"/>
  <c r="AN30" i="2"/>
  <c r="O29" i="2" l="1"/>
  <c r="V29" i="2"/>
  <c r="AO30" i="2"/>
  <c r="P29" i="2"/>
  <c r="H30" i="2"/>
  <c r="AJ32" i="2"/>
  <c r="Y32" i="2"/>
  <c r="E30" i="2"/>
  <c r="D31" i="2"/>
  <c r="X32" i="2" l="1"/>
  <c r="Z32" i="2" s="1"/>
  <c r="AI30" i="2"/>
  <c r="J30" i="2"/>
  <c r="U29" i="2"/>
  <c r="AL30" i="2"/>
  <c r="M30" i="2" l="1"/>
  <c r="N30" i="2"/>
  <c r="I30" i="2"/>
  <c r="W33" i="2"/>
  <c r="AC32" i="2"/>
  <c r="AM31" i="2"/>
  <c r="K30" i="2"/>
  <c r="AR30" i="2"/>
  <c r="AQ30" i="2"/>
  <c r="L30" i="2"/>
  <c r="AB30" i="2"/>
  <c r="AJ33" i="2"/>
  <c r="AK30" i="2"/>
  <c r="Y33" i="2"/>
  <c r="AP31" i="2"/>
  <c r="AN31" i="2"/>
  <c r="X33" i="2" l="1"/>
  <c r="Z33" i="2" s="1"/>
  <c r="O30" i="2"/>
  <c r="V30" i="2"/>
  <c r="P30" i="2"/>
  <c r="AO31" i="2"/>
  <c r="W34" i="2" l="1"/>
  <c r="H31" i="2"/>
  <c r="U30" i="2"/>
  <c r="AC33" i="2"/>
  <c r="E31" i="2"/>
  <c r="D32" i="2"/>
  <c r="J31" i="2"/>
  <c r="AI31" i="2"/>
  <c r="AJ34" i="2"/>
  <c r="Y34" i="2"/>
  <c r="AL31" i="2"/>
  <c r="X34" i="2" l="1"/>
  <c r="M31" i="2"/>
  <c r="N31" i="2"/>
  <c r="I31" i="2"/>
  <c r="AM32" i="2"/>
  <c r="K31" i="2"/>
  <c r="AC34" i="2"/>
  <c r="AR31" i="2"/>
  <c r="AQ31" i="2"/>
  <c r="Z34" i="2" l="1"/>
  <c r="L31" i="2"/>
  <c r="AB31" i="2"/>
  <c r="AK31" i="2"/>
  <c r="AP32" i="2"/>
  <c r="AN32" i="2"/>
  <c r="O31" i="2" l="1"/>
  <c r="W35" i="2"/>
  <c r="V31" i="2"/>
  <c r="AO32" i="2"/>
  <c r="P31" i="2"/>
  <c r="H32" i="2"/>
  <c r="Y35" i="2"/>
  <c r="U31" i="2"/>
  <c r="AJ35" i="2"/>
  <c r="X35" i="2" l="1"/>
  <c r="E32" i="2"/>
  <c r="J32" i="2"/>
  <c r="AI32" i="2"/>
  <c r="AC35" i="2"/>
  <c r="AL32" i="2"/>
  <c r="M32" i="2" l="1"/>
  <c r="N32" i="2"/>
  <c r="I32" i="2"/>
  <c r="Z35" i="2"/>
  <c r="K32" i="2"/>
  <c r="D33" i="2"/>
  <c r="AR32" i="2"/>
  <c r="AQ32" i="2"/>
  <c r="AM33" i="2"/>
  <c r="W36" i="2" l="1"/>
  <c r="L32" i="2"/>
  <c r="AK32" i="2"/>
  <c r="AB32" i="2"/>
  <c r="AN33" i="2"/>
  <c r="AP33" i="2"/>
  <c r="O32" i="2" l="1"/>
  <c r="V32" i="2"/>
  <c r="P32" i="2"/>
  <c r="Y36" i="2"/>
  <c r="AO33" i="2"/>
  <c r="H33" i="2" s="1"/>
  <c r="AJ36" i="2"/>
  <c r="E33" i="2"/>
  <c r="D34" i="2"/>
  <c r="X36" i="2" l="1"/>
  <c r="J33" i="2"/>
  <c r="AI33" i="2"/>
  <c r="U32" i="2"/>
  <c r="AC36" i="2"/>
  <c r="AL33" i="2"/>
  <c r="M33" i="2" l="1"/>
  <c r="N33" i="2"/>
  <c r="I33" i="2"/>
  <c r="Z36" i="2"/>
  <c r="AM34" i="2"/>
  <c r="K33" i="2"/>
  <c r="AR33" i="2"/>
  <c r="AQ33" i="2"/>
  <c r="W37" i="2" l="1"/>
  <c r="L33" i="2"/>
  <c r="AK33" i="2"/>
  <c r="AB33" i="2"/>
  <c r="AP34" i="2"/>
  <c r="AN34" i="2"/>
  <c r="O33" i="2" l="1"/>
  <c r="V33" i="2"/>
  <c r="P33" i="2"/>
  <c r="Y37" i="2"/>
  <c r="AO34" i="2"/>
  <c r="H34" i="2" s="1"/>
  <c r="AJ37" i="2"/>
  <c r="E34" i="2"/>
  <c r="D35" i="2"/>
  <c r="X37" i="2" l="1"/>
  <c r="J34" i="2"/>
  <c r="AI34" i="2"/>
  <c r="U33" i="2"/>
  <c r="AC37" i="2"/>
  <c r="AL34" i="2"/>
  <c r="M34" i="2" l="1"/>
  <c r="N34" i="2"/>
  <c r="I34" i="2"/>
  <c r="Z37" i="2"/>
  <c r="AM35" i="2"/>
  <c r="K34" i="2"/>
  <c r="AR34" i="2"/>
  <c r="AQ34" i="2"/>
  <c r="W38" i="2" l="1"/>
  <c r="L34" i="2"/>
  <c r="AB34" i="2"/>
  <c r="AK34" i="2"/>
  <c r="AP35" i="2"/>
  <c r="AN35" i="2"/>
  <c r="O34" i="2" l="1"/>
  <c r="V34" i="2"/>
  <c r="AO35" i="2"/>
  <c r="P34" i="2"/>
  <c r="H35" i="2"/>
  <c r="AJ38" i="2"/>
  <c r="Y38" i="2"/>
  <c r="E35" i="2"/>
  <c r="D36" i="2"/>
  <c r="X38" i="2" l="1"/>
  <c r="Z38" i="2" s="1"/>
  <c r="U34" i="2"/>
  <c r="J35" i="2"/>
  <c r="AI35" i="2"/>
  <c r="AL35" i="2"/>
  <c r="M35" i="2" l="1"/>
  <c r="N35" i="2"/>
  <c r="I35" i="2"/>
  <c r="W39" i="2"/>
  <c r="AM36" i="2"/>
  <c r="K35" i="2"/>
  <c r="AC38" i="2"/>
  <c r="AR35" i="2"/>
  <c r="AQ35" i="2"/>
  <c r="L35" i="2"/>
  <c r="AB35" i="2"/>
  <c r="AK35" i="2"/>
  <c r="Y39" i="2"/>
  <c r="AJ39" i="2"/>
  <c r="AP36" i="2"/>
  <c r="AN36" i="2"/>
  <c r="X39" i="2" l="1"/>
  <c r="O35" i="2"/>
  <c r="V35" i="2"/>
  <c r="P35" i="2"/>
  <c r="AO36" i="2"/>
  <c r="H36" i="2" s="1"/>
  <c r="AC39" i="2"/>
  <c r="E36" i="2"/>
  <c r="D37" i="2"/>
  <c r="Z39" i="2" l="1"/>
  <c r="U35" i="2"/>
  <c r="AI36" i="2"/>
  <c r="J36" i="2"/>
  <c r="AL36" i="2"/>
  <c r="M36" i="2" l="1"/>
  <c r="N36" i="2"/>
  <c r="I36" i="2"/>
  <c r="W40" i="2"/>
  <c r="AM37" i="2"/>
  <c r="K36" i="2"/>
  <c r="AR36" i="2"/>
  <c r="AQ36" i="2"/>
  <c r="L36" i="2"/>
  <c r="AK36" i="2"/>
  <c r="AJ40" i="2"/>
  <c r="AB36" i="2"/>
  <c r="Y40" i="2"/>
  <c r="AP37" i="2"/>
  <c r="AN37" i="2"/>
  <c r="X40" i="2" l="1"/>
  <c r="Z40" i="2" s="1"/>
  <c r="O36" i="2"/>
  <c r="AO37" i="2"/>
  <c r="V36" i="2"/>
  <c r="H37" i="2"/>
  <c r="P36" i="2"/>
  <c r="E37" i="2"/>
  <c r="D38" i="2"/>
  <c r="W41" i="2" l="1"/>
  <c r="J37" i="2"/>
  <c r="AI37" i="2"/>
  <c r="U36" i="2"/>
  <c r="AC40" i="2"/>
  <c r="AL37" i="2"/>
  <c r="M37" i="2" l="1"/>
  <c r="N37" i="2"/>
  <c r="I37" i="2"/>
  <c r="AM38" i="2"/>
  <c r="K37" i="2"/>
  <c r="Y41" i="2"/>
  <c r="AJ41" i="2"/>
  <c r="AR37" i="2"/>
  <c r="AQ37" i="2"/>
  <c r="X41" i="2" l="1"/>
  <c r="L37" i="2"/>
  <c r="AB37" i="2"/>
  <c r="AK37" i="2"/>
  <c r="AC41" i="2"/>
  <c r="AP38" i="2"/>
  <c r="AN38" i="2"/>
  <c r="O37" i="2" l="1"/>
  <c r="Z41" i="2"/>
  <c r="V37" i="2"/>
  <c r="AO38" i="2"/>
  <c r="P37" i="2"/>
  <c r="H38" i="2"/>
  <c r="W42" i="2" l="1"/>
  <c r="E38" i="2"/>
  <c r="J38" i="2"/>
  <c r="AI38" i="2"/>
  <c r="U37" i="2"/>
  <c r="AL38" i="2"/>
  <c r="M38" i="2" l="1"/>
  <c r="N38" i="2"/>
  <c r="I38" i="2"/>
  <c r="AJ42" i="2"/>
  <c r="D39" i="2"/>
  <c r="Y42" i="2"/>
  <c r="K38" i="2"/>
  <c r="AM39" i="2"/>
  <c r="AR38" i="2"/>
  <c r="AQ38" i="2"/>
  <c r="X42" i="2" l="1"/>
  <c r="Z42" i="2" s="1"/>
  <c r="L38" i="2"/>
  <c r="AB38" i="2"/>
  <c r="AK38" i="2"/>
  <c r="AN39" i="2"/>
  <c r="AP39" i="2"/>
  <c r="O38" i="2" l="1"/>
  <c r="W43" i="2"/>
  <c r="V38" i="2"/>
  <c r="P38" i="2"/>
  <c r="AO39" i="2"/>
  <c r="AC42" i="2"/>
  <c r="H39" i="2"/>
  <c r="AJ43" i="2"/>
  <c r="U38" i="2"/>
  <c r="Y43" i="2"/>
  <c r="X43" i="2" l="1"/>
  <c r="Z43" i="2" s="1"/>
  <c r="AI39" i="2"/>
  <c r="E39" i="2"/>
  <c r="J39" i="2"/>
  <c r="AL39" i="2"/>
  <c r="M39" i="2" l="1"/>
  <c r="N39" i="2"/>
  <c r="I39" i="2"/>
  <c r="W44" i="2"/>
  <c r="K39" i="2"/>
  <c r="D40" i="2"/>
  <c r="AC43" i="2"/>
  <c r="AR39" i="2"/>
  <c r="AQ39" i="2"/>
  <c r="AM40" i="2"/>
  <c r="L39" i="2"/>
  <c r="AK39" i="2"/>
  <c r="AJ44" i="2"/>
  <c r="AB39" i="2"/>
  <c r="Y44" i="2"/>
  <c r="AN40" i="2"/>
  <c r="AP40" i="2"/>
  <c r="X44" i="2" l="1"/>
  <c r="Z44" i="2" s="1"/>
  <c r="O39" i="2"/>
  <c r="V39" i="2"/>
  <c r="P39" i="2"/>
  <c r="AO40" i="2"/>
  <c r="H40" i="2" s="1"/>
  <c r="E40" i="2"/>
  <c r="D41" i="2"/>
  <c r="W45" i="2" l="1"/>
  <c r="J40" i="2"/>
  <c r="AI40" i="2"/>
  <c r="AC44" i="2"/>
  <c r="U39" i="2"/>
  <c r="AL40" i="2"/>
  <c r="M40" i="2" l="1"/>
  <c r="N40" i="2"/>
  <c r="I40" i="2"/>
  <c r="AM41" i="2"/>
  <c r="K40" i="2"/>
  <c r="AJ45" i="2"/>
  <c r="Y45" i="2"/>
  <c r="AR40" i="2"/>
  <c r="AQ40" i="2"/>
  <c r="X45" i="2" l="1"/>
  <c r="AK40" i="2"/>
  <c r="L40" i="2"/>
  <c r="AB40" i="2"/>
  <c r="AC45" i="2"/>
  <c r="AP41" i="2"/>
  <c r="AN41" i="2"/>
  <c r="O40" i="2" l="1"/>
  <c r="Z45" i="2"/>
  <c r="V40" i="2"/>
  <c r="AO41" i="2"/>
  <c r="P40" i="2"/>
  <c r="W46" i="2" l="1"/>
  <c r="H41" i="2"/>
  <c r="U40" i="2"/>
  <c r="E41" i="2"/>
  <c r="D42" i="2"/>
  <c r="Y46" i="2"/>
  <c r="J41" i="2"/>
  <c r="AI41" i="2"/>
  <c r="AJ46" i="2"/>
  <c r="AL41" i="2"/>
  <c r="M41" i="2" l="1"/>
  <c r="N41" i="2"/>
  <c r="I41" i="2"/>
  <c r="X46" i="2"/>
  <c r="AM42" i="2"/>
  <c r="K41" i="2"/>
  <c r="AC46" i="2"/>
  <c r="AR41" i="2"/>
  <c r="AQ41" i="2"/>
  <c r="Z46" i="2" l="1"/>
  <c r="L41" i="2"/>
  <c r="AB41" i="2"/>
  <c r="AK41" i="2"/>
  <c r="AP42" i="2"/>
  <c r="AN42" i="2"/>
  <c r="O41" i="2" l="1"/>
  <c r="W47" i="2"/>
  <c r="V41" i="2"/>
  <c r="AO42" i="2"/>
  <c r="P41" i="2"/>
  <c r="H42" i="2"/>
  <c r="E42" i="2"/>
  <c r="D43" i="2"/>
  <c r="AI42" i="2"/>
  <c r="J42" i="2"/>
  <c r="U41" i="2"/>
  <c r="AJ47" i="2"/>
  <c r="Y47" i="2"/>
  <c r="AL42" i="2"/>
  <c r="X47" i="2" l="1"/>
  <c r="Z47" i="2" s="1"/>
  <c r="M42" i="2"/>
  <c r="N42" i="2"/>
  <c r="I42" i="2"/>
  <c r="AM43" i="2"/>
  <c r="K42" i="2"/>
  <c r="AR42" i="2"/>
  <c r="AQ42" i="2"/>
  <c r="W48" i="2" l="1"/>
  <c r="L42" i="2"/>
  <c r="AK42" i="2"/>
  <c r="AB42" i="2"/>
  <c r="AC47" i="2"/>
  <c r="AP43" i="2"/>
  <c r="AN43" i="2"/>
  <c r="O42" i="2" l="1"/>
  <c r="V42" i="2"/>
  <c r="AO43" i="2"/>
  <c r="P42" i="2"/>
  <c r="H43" i="2"/>
  <c r="Y48" i="2"/>
  <c r="AJ48" i="2"/>
  <c r="E43" i="2"/>
  <c r="D44" i="2"/>
  <c r="X48" i="2" l="1"/>
  <c r="Z48" i="2" s="1"/>
  <c r="J43" i="2"/>
  <c r="U42" i="2"/>
  <c r="AI43" i="2"/>
  <c r="AL43" i="2"/>
  <c r="M43" i="2" l="1"/>
  <c r="N43" i="2"/>
  <c r="I43" i="2"/>
  <c r="W49" i="2"/>
  <c r="AM44" i="2"/>
  <c r="K43" i="2"/>
  <c r="AC48" i="2"/>
  <c r="AR43" i="2"/>
  <c r="AQ43" i="2"/>
  <c r="L43" i="2"/>
  <c r="AB43" i="2"/>
  <c r="Y49" i="2"/>
  <c r="AK43" i="2"/>
  <c r="AJ49" i="2"/>
  <c r="AP44" i="2"/>
  <c r="AN44" i="2"/>
  <c r="X49" i="2" l="1"/>
  <c r="O43" i="2"/>
  <c r="P43" i="2"/>
  <c r="V43" i="2"/>
  <c r="AO44" i="2"/>
  <c r="AC49" i="2"/>
  <c r="Z49" i="2" l="1"/>
  <c r="H44" i="2"/>
  <c r="U43" i="2"/>
  <c r="E44" i="2"/>
  <c r="D45" i="2"/>
  <c r="W50" i="2" l="1"/>
  <c r="J44" i="2"/>
  <c r="AI44" i="2"/>
  <c r="AL44" i="2"/>
  <c r="M44" i="2" l="1"/>
  <c r="N44" i="2"/>
  <c r="I44" i="2"/>
  <c r="AM45" i="2"/>
  <c r="K44" i="2"/>
  <c r="AJ50" i="2"/>
  <c r="Y50" i="2"/>
  <c r="AR44" i="2"/>
  <c r="AQ44" i="2"/>
  <c r="X50" i="2" l="1"/>
  <c r="L44" i="2"/>
  <c r="AK44" i="2"/>
  <c r="AB44" i="2"/>
  <c r="AC50" i="2"/>
  <c r="AP45" i="2"/>
  <c r="AN45" i="2"/>
  <c r="O44" i="2" l="1"/>
  <c r="Z50" i="2"/>
  <c r="V44" i="2"/>
  <c r="AO45" i="2"/>
  <c r="P44" i="2"/>
  <c r="H45" i="2"/>
  <c r="E45" i="2"/>
  <c r="D46" i="2"/>
  <c r="W51" i="2" l="1"/>
  <c r="J45" i="2"/>
  <c r="AI45" i="2"/>
  <c r="U44" i="2"/>
  <c r="AL45" i="2"/>
  <c r="M45" i="2" l="1"/>
  <c r="N45" i="2"/>
  <c r="I45" i="2"/>
  <c r="AM46" i="2"/>
  <c r="K45" i="2"/>
  <c r="AJ51" i="2"/>
  <c r="Y51" i="2"/>
  <c r="AR45" i="2"/>
  <c r="AQ45" i="2"/>
  <c r="X51" i="2" l="1"/>
  <c r="Z51" i="2" s="1"/>
  <c r="AK45" i="2"/>
  <c r="L45" i="2"/>
  <c r="AB45" i="2"/>
  <c r="AP46" i="2"/>
  <c r="AN46" i="2"/>
  <c r="O45" i="2" l="1"/>
  <c r="W52" i="2"/>
  <c r="V45" i="2"/>
  <c r="AO46" i="2"/>
  <c r="P45" i="2"/>
  <c r="AC51" i="2"/>
  <c r="H46" i="2"/>
  <c r="AJ52" i="2"/>
  <c r="U45" i="2"/>
  <c r="Y52" i="2"/>
  <c r="E46" i="2"/>
  <c r="D47" i="2"/>
  <c r="X52" i="2" l="1"/>
  <c r="Z52" i="2" s="1"/>
  <c r="AI46" i="2"/>
  <c r="J46" i="2"/>
  <c r="AL46" i="2"/>
  <c r="M46" i="2" l="1"/>
  <c r="N46" i="2"/>
  <c r="I46" i="2"/>
  <c r="W53" i="2"/>
  <c r="AM47" i="2"/>
  <c r="K46" i="2"/>
  <c r="AC52" i="2"/>
  <c r="AR46" i="2"/>
  <c r="AQ46" i="2"/>
  <c r="L46" i="2"/>
  <c r="AB46" i="2"/>
  <c r="AK46" i="2"/>
  <c r="AJ53" i="2"/>
  <c r="Y53" i="2"/>
  <c r="AP47" i="2"/>
  <c r="AN47" i="2"/>
  <c r="X53" i="2" l="1"/>
  <c r="Z53" i="2" s="1"/>
  <c r="O46" i="2"/>
  <c r="AO47" i="2"/>
  <c r="V46" i="2"/>
  <c r="P46" i="2"/>
  <c r="W54" i="2" l="1"/>
  <c r="U46" i="2"/>
  <c r="H47" i="2"/>
  <c r="AC53" i="2"/>
  <c r="E47" i="2"/>
  <c r="D48" i="2"/>
  <c r="AJ54" i="2"/>
  <c r="J47" i="2"/>
  <c r="AI47" i="2"/>
  <c r="Y54" i="2"/>
  <c r="AL47" i="2"/>
  <c r="X54" i="2" l="1"/>
  <c r="Z54" i="2" s="1"/>
  <c r="M47" i="2"/>
  <c r="N47" i="2"/>
  <c r="I47" i="2"/>
  <c r="AM48" i="2"/>
  <c r="K47" i="2"/>
  <c r="AC54" i="2"/>
  <c r="AR47" i="2"/>
  <c r="W55" i="2" l="1"/>
  <c r="AQ47" i="2"/>
  <c r="AB47" i="2"/>
  <c r="L47" i="2"/>
  <c r="AK47" i="2"/>
  <c r="AP48" i="2"/>
  <c r="AN48" i="2"/>
  <c r="O47" i="2" l="1"/>
  <c r="V47" i="2"/>
  <c r="P47" i="2"/>
  <c r="AO48" i="2"/>
  <c r="Y55" i="2"/>
  <c r="AJ55" i="2"/>
  <c r="X55" i="2" l="1"/>
  <c r="H48" i="2"/>
  <c r="U47" i="2"/>
  <c r="AC55" i="2"/>
  <c r="E48" i="2"/>
  <c r="D49" i="2"/>
  <c r="Z55" i="2" l="1"/>
  <c r="J48" i="2"/>
  <c r="AI48" i="2"/>
  <c r="AL48" i="2"/>
  <c r="M48" i="2" l="1"/>
  <c r="N48" i="2"/>
  <c r="I48" i="2"/>
  <c r="W56" i="2"/>
  <c r="AM49" i="2"/>
  <c r="K48" i="2"/>
  <c r="AR48" i="2"/>
  <c r="AQ48" i="2"/>
  <c r="L48" i="2"/>
  <c r="AB48" i="2"/>
  <c r="AK48" i="2"/>
  <c r="Y56" i="2"/>
  <c r="AJ56" i="2"/>
  <c r="AP49" i="2"/>
  <c r="AN49" i="2"/>
  <c r="X56" i="2" l="1"/>
  <c r="O48" i="2"/>
  <c r="V48" i="2"/>
  <c r="AO49" i="2"/>
  <c r="H49" i="2" s="1"/>
  <c r="P48" i="2"/>
  <c r="AC56" i="2"/>
  <c r="E49" i="2"/>
  <c r="D50" i="2"/>
  <c r="Z56" i="2" l="1"/>
  <c r="U48" i="2"/>
  <c r="J49" i="2"/>
  <c r="AI49" i="2"/>
  <c r="AL49" i="2"/>
  <c r="M49" i="2" l="1"/>
  <c r="N49" i="2"/>
  <c r="I49" i="2"/>
  <c r="W57" i="2"/>
  <c r="AM50" i="2"/>
  <c r="K49" i="2"/>
  <c r="AR49" i="2"/>
  <c r="AQ49" i="2"/>
  <c r="L49" i="2"/>
  <c r="AB49" i="2"/>
  <c r="AK49" i="2"/>
  <c r="AJ57" i="2"/>
  <c r="Y57" i="2"/>
  <c r="AP50" i="2"/>
  <c r="AN50" i="2"/>
  <c r="X57" i="2" l="1"/>
  <c r="O49" i="2"/>
  <c r="P49" i="2"/>
  <c r="V49" i="2"/>
  <c r="AO50" i="2"/>
  <c r="H50" i="2" s="1"/>
  <c r="AC57" i="2"/>
  <c r="E50" i="2"/>
  <c r="D51" i="2"/>
  <c r="Z57" i="2" l="1"/>
  <c r="J50" i="2"/>
  <c r="AI50" i="2"/>
  <c r="U49" i="2"/>
  <c r="AL50" i="2"/>
  <c r="M50" i="2" l="1"/>
  <c r="N50" i="2"/>
  <c r="I50" i="2"/>
  <c r="W58" i="2"/>
  <c r="AM51" i="2"/>
  <c r="K50" i="2"/>
  <c r="AR50" i="2"/>
  <c r="AQ50" i="2"/>
  <c r="L50" i="2"/>
  <c r="AB50" i="2"/>
  <c r="Y58" i="2"/>
  <c r="AK50" i="2"/>
  <c r="AJ58" i="2"/>
  <c r="AP51" i="2"/>
  <c r="AN51" i="2"/>
  <c r="X58" i="2" l="1"/>
  <c r="O50" i="2"/>
  <c r="V50" i="2"/>
  <c r="P50" i="2"/>
  <c r="AO51" i="2"/>
  <c r="AC58" i="2"/>
  <c r="Z58" i="2" l="1"/>
  <c r="H51" i="2"/>
  <c r="U50" i="2"/>
  <c r="E51" i="2"/>
  <c r="D52" i="2"/>
  <c r="W59" i="2" l="1"/>
  <c r="AI51" i="2"/>
  <c r="J51" i="2"/>
  <c r="AL51" i="2"/>
  <c r="M51" i="2" l="1"/>
  <c r="N51" i="2"/>
  <c r="I51" i="2"/>
  <c r="Y59" i="2"/>
  <c r="AM52" i="2"/>
  <c r="K51" i="2"/>
  <c r="AJ59" i="2"/>
  <c r="AR51" i="2"/>
  <c r="AQ51" i="2"/>
  <c r="X59" i="2" l="1"/>
  <c r="L51" i="2"/>
  <c r="AK51" i="2"/>
  <c r="AB51" i="2"/>
  <c r="AC59" i="2"/>
  <c r="AP52" i="2"/>
  <c r="AN52" i="2"/>
  <c r="O51" i="2" l="1"/>
  <c r="Z59" i="2"/>
  <c r="V51" i="2"/>
  <c r="AO52" i="2"/>
  <c r="P51" i="2"/>
  <c r="H52" i="2"/>
  <c r="E52" i="2"/>
  <c r="D53" i="2"/>
  <c r="W60" i="2" l="1"/>
  <c r="J52" i="2"/>
  <c r="U51" i="2"/>
  <c r="AI52" i="2"/>
  <c r="AL52" i="2"/>
  <c r="M52" i="2" l="1"/>
  <c r="N52" i="2"/>
  <c r="I52" i="2"/>
  <c r="AM53" i="2"/>
  <c r="K52" i="2"/>
  <c r="Y60" i="2"/>
  <c r="AJ60" i="2"/>
  <c r="AR52" i="2"/>
  <c r="AQ52" i="2"/>
  <c r="X60" i="2" l="1"/>
  <c r="L52" i="2"/>
  <c r="AK52" i="2"/>
  <c r="AB52" i="2"/>
  <c r="AC60" i="2"/>
  <c r="AP53" i="2"/>
  <c r="AN53" i="2"/>
  <c r="O52" i="2" l="1"/>
  <c r="Z60" i="2"/>
  <c r="V52" i="2"/>
  <c r="P52" i="2"/>
  <c r="AO53" i="2"/>
  <c r="H53" i="2"/>
  <c r="E53" i="2"/>
  <c r="D54" i="2"/>
  <c r="W61" i="2" l="1"/>
  <c r="AI53" i="2"/>
  <c r="J53" i="2"/>
  <c r="U52" i="2"/>
  <c r="AL53" i="2"/>
  <c r="M53" i="2" l="1"/>
  <c r="N53" i="2"/>
  <c r="I53" i="2"/>
  <c r="Y61" i="2"/>
  <c r="AJ61" i="2"/>
  <c r="AM54" i="2"/>
  <c r="K53" i="2"/>
  <c r="AR53" i="2"/>
  <c r="AQ53" i="2"/>
  <c r="X61" i="2" l="1"/>
  <c r="Z61" i="2" s="1"/>
  <c r="L53" i="2"/>
  <c r="AK53" i="2"/>
  <c r="AB53" i="2"/>
  <c r="AP54" i="2"/>
  <c r="AN54" i="2"/>
  <c r="O53" i="2" l="1"/>
  <c r="W62" i="2"/>
  <c r="V53" i="2"/>
  <c r="P53" i="2"/>
  <c r="AO54" i="2"/>
  <c r="AC61" i="2"/>
  <c r="H54" i="2"/>
  <c r="AJ62" i="2"/>
  <c r="U53" i="2"/>
  <c r="Y62" i="2"/>
  <c r="E54" i="2"/>
  <c r="D55" i="2"/>
  <c r="X62" i="2" l="1"/>
  <c r="Z62" i="2" s="1"/>
  <c r="J54" i="2"/>
  <c r="AI54" i="2"/>
  <c r="AL54" i="2"/>
  <c r="M54" i="2" l="1"/>
  <c r="N54" i="2"/>
  <c r="I54" i="2"/>
  <c r="W63" i="2"/>
  <c r="AC62" i="2"/>
  <c r="AM55" i="2"/>
  <c r="K54" i="2"/>
  <c r="AR54" i="2"/>
  <c r="AQ54" i="2"/>
  <c r="L54" i="2"/>
  <c r="AK54" i="2"/>
  <c r="Y63" i="2"/>
  <c r="AB54" i="2"/>
  <c r="AJ63" i="2"/>
  <c r="AP55" i="2"/>
  <c r="AN55" i="2"/>
  <c r="X63" i="2" l="1"/>
  <c r="O54" i="2"/>
  <c r="V54" i="2"/>
  <c r="P54" i="2"/>
  <c r="AO55" i="2"/>
  <c r="AC63" i="2"/>
  <c r="Z63" i="2" l="1"/>
  <c r="H55" i="2"/>
  <c r="U54" i="2"/>
  <c r="E55" i="2"/>
  <c r="D56" i="2"/>
  <c r="W64" i="2" l="1"/>
  <c r="J55" i="2"/>
  <c r="AI55" i="2"/>
  <c r="AL55" i="2"/>
  <c r="M55" i="2" l="1"/>
  <c r="N55" i="2"/>
  <c r="I55" i="2"/>
  <c r="AM56" i="2"/>
  <c r="K55" i="2"/>
  <c r="Y64" i="2"/>
  <c r="AJ64" i="2"/>
  <c r="AR55" i="2"/>
  <c r="AQ55" i="2"/>
  <c r="X64" i="2" l="1"/>
  <c r="L55" i="2"/>
  <c r="AB55" i="2"/>
  <c r="AK55" i="2"/>
  <c r="AC64" i="2"/>
  <c r="AP56" i="2"/>
  <c r="AN56" i="2"/>
  <c r="O55" i="2" l="1"/>
  <c r="Z64" i="2"/>
  <c r="V55" i="2"/>
  <c r="P55" i="2"/>
  <c r="AO56" i="2"/>
  <c r="H56" i="2"/>
  <c r="E56" i="2"/>
  <c r="D57" i="2"/>
  <c r="W65" i="2" l="1"/>
  <c r="U55" i="2"/>
  <c r="J56" i="2"/>
  <c r="AI56" i="2"/>
  <c r="AL56" i="2"/>
  <c r="M56" i="2" l="1"/>
  <c r="N56" i="2"/>
  <c r="I56" i="2"/>
  <c r="Y65" i="2"/>
  <c r="AM57" i="2"/>
  <c r="K56" i="2"/>
  <c r="AJ65" i="2"/>
  <c r="AR56" i="2"/>
  <c r="AQ56" i="2"/>
  <c r="X65" i="2" l="1"/>
  <c r="L56" i="2"/>
  <c r="AK56" i="2"/>
  <c r="AB56" i="2"/>
  <c r="AC65" i="2"/>
  <c r="AP57" i="2"/>
  <c r="AN57" i="2"/>
  <c r="O56" i="2" l="1"/>
  <c r="Z65" i="2"/>
  <c r="V56" i="2"/>
  <c r="P56" i="2"/>
  <c r="AO57" i="2"/>
  <c r="H57" i="2" s="1"/>
  <c r="E57" i="2"/>
  <c r="D58" i="2"/>
  <c r="W66" i="2" l="1"/>
  <c r="AI57" i="2"/>
  <c r="J57" i="2"/>
  <c r="U56" i="2"/>
  <c r="AL57" i="2"/>
  <c r="M57" i="2" l="1"/>
  <c r="N57" i="2"/>
  <c r="I57" i="2"/>
  <c r="AM58" i="2"/>
  <c r="K57" i="2"/>
  <c r="Y66" i="2"/>
  <c r="AJ66" i="2"/>
  <c r="AR57" i="2"/>
  <c r="AQ57" i="2"/>
  <c r="X66" i="2" l="1"/>
  <c r="AB57" i="2"/>
  <c r="L57" i="2"/>
  <c r="AK57" i="2"/>
  <c r="AC66" i="2"/>
  <c r="AP58" i="2"/>
  <c r="AN58" i="2"/>
  <c r="O57" i="2" l="1"/>
  <c r="Z66" i="2"/>
  <c r="V57" i="2"/>
  <c r="P57" i="2"/>
  <c r="AO58" i="2"/>
  <c r="H58" i="2" s="1"/>
  <c r="E58" i="2"/>
  <c r="D59" i="2"/>
  <c r="W67" i="2" l="1"/>
  <c r="U57" i="2"/>
  <c r="J58" i="2"/>
  <c r="AI58" i="2"/>
  <c r="AL58" i="2"/>
  <c r="M58" i="2" l="1"/>
  <c r="N58" i="2"/>
  <c r="I58" i="2"/>
  <c r="Y67" i="2"/>
  <c r="AJ67" i="2"/>
  <c r="AM59" i="2"/>
  <c r="K58" i="2"/>
  <c r="AR58" i="2"/>
  <c r="AQ58" i="2"/>
  <c r="X67" i="2" l="1"/>
  <c r="Z67" i="2" s="1"/>
  <c r="L58" i="2"/>
  <c r="AB58" i="2"/>
  <c r="AK58" i="2"/>
  <c r="AP59" i="2"/>
  <c r="AN59" i="2"/>
  <c r="O58" i="2" l="1"/>
  <c r="W68" i="2"/>
  <c r="V58" i="2"/>
  <c r="AO59" i="2"/>
  <c r="P58" i="2"/>
  <c r="H59" i="2"/>
  <c r="AC67" i="2"/>
  <c r="E59" i="2"/>
  <c r="D60" i="2"/>
  <c r="J59" i="2"/>
  <c r="AI59" i="2"/>
  <c r="Y68" i="2"/>
  <c r="U58" i="2"/>
  <c r="AJ68" i="2"/>
  <c r="AL59" i="2"/>
  <c r="X68" i="2" l="1"/>
  <c r="M59" i="2"/>
  <c r="N59" i="2"/>
  <c r="I59" i="2"/>
  <c r="AM60" i="2"/>
  <c r="K59" i="2"/>
  <c r="AC68" i="2"/>
  <c r="AR59" i="2"/>
  <c r="AQ59" i="2"/>
  <c r="Z68" i="2" l="1"/>
  <c r="L59" i="2"/>
  <c r="AB59" i="2"/>
  <c r="AK59" i="2"/>
  <c r="AP60" i="2"/>
  <c r="AN60" i="2"/>
  <c r="O59" i="2" l="1"/>
  <c r="W69" i="2"/>
  <c r="V59" i="2"/>
  <c r="P59" i="2"/>
  <c r="AO60" i="2"/>
  <c r="H60" i="2"/>
  <c r="AJ69" i="2"/>
  <c r="U59" i="2"/>
  <c r="Y69" i="2"/>
  <c r="X69" i="2" l="1"/>
  <c r="J60" i="2"/>
  <c r="E60" i="2"/>
  <c r="AI60" i="2"/>
  <c r="AC69" i="2"/>
  <c r="AL60" i="2"/>
  <c r="M60" i="2" l="1"/>
  <c r="N60" i="2"/>
  <c r="I60" i="2"/>
  <c r="Z69" i="2"/>
  <c r="D61" i="2"/>
  <c r="K60" i="2"/>
  <c r="AM61" i="2"/>
  <c r="AR60" i="2"/>
  <c r="AQ60" i="2"/>
  <c r="W70" i="2" l="1"/>
  <c r="L60" i="2"/>
  <c r="AK60" i="2"/>
  <c r="AB60" i="2"/>
  <c r="AN61" i="2"/>
  <c r="AP61" i="2"/>
  <c r="O60" i="2" l="1"/>
  <c r="V60" i="2"/>
  <c r="AO61" i="2"/>
  <c r="P60" i="2"/>
  <c r="H61" i="2"/>
  <c r="AJ70" i="2"/>
  <c r="Y70" i="2"/>
  <c r="E61" i="2"/>
  <c r="D62" i="2"/>
  <c r="X70" i="2" l="1"/>
  <c r="Z70" i="2" s="1"/>
  <c r="J61" i="2"/>
  <c r="U60" i="2"/>
  <c r="AI61" i="2"/>
  <c r="AL61" i="2"/>
  <c r="M61" i="2" l="1"/>
  <c r="N61" i="2"/>
  <c r="I61" i="2"/>
  <c r="W71" i="2"/>
  <c r="AM62" i="2"/>
  <c r="K61" i="2"/>
  <c r="AC70" i="2"/>
  <c r="AR61" i="2"/>
  <c r="AQ61" i="2"/>
  <c r="L61" i="2"/>
  <c r="AK61" i="2"/>
  <c r="AJ71" i="2"/>
  <c r="AB61" i="2"/>
  <c r="Y71" i="2"/>
  <c r="AP62" i="2"/>
  <c r="AN62" i="2"/>
  <c r="X71" i="2" l="1"/>
  <c r="O61" i="2"/>
  <c r="P61" i="2"/>
  <c r="V61" i="2"/>
  <c r="AO62" i="2"/>
  <c r="H62" i="2" s="1"/>
  <c r="AC71" i="2"/>
  <c r="E62" i="2"/>
  <c r="D63" i="2"/>
  <c r="Z71" i="2" l="1"/>
  <c r="AI62" i="2"/>
  <c r="U61" i="2"/>
  <c r="J62" i="2"/>
  <c r="AL62" i="2"/>
  <c r="M62" i="2" l="1"/>
  <c r="N62" i="2"/>
  <c r="I62" i="2"/>
  <c r="W72" i="2"/>
  <c r="AM63" i="2"/>
  <c r="K62" i="2"/>
  <c r="AR62" i="2"/>
  <c r="AQ62" i="2"/>
  <c r="L62" i="2"/>
  <c r="AB62" i="2"/>
  <c r="AJ72" i="2"/>
  <c r="AK62" i="2"/>
  <c r="Y72" i="2"/>
  <c r="AP63" i="2"/>
  <c r="AN63" i="2"/>
  <c r="X72" i="2" l="1"/>
  <c r="O62" i="2"/>
  <c r="P62" i="2"/>
  <c r="V62" i="2"/>
  <c r="AO63" i="2"/>
  <c r="AC72" i="2"/>
  <c r="Z72" i="2" l="1"/>
  <c r="H63" i="2"/>
  <c r="U62" i="2"/>
  <c r="E63" i="2"/>
  <c r="D64" i="2"/>
  <c r="W73" i="2" l="1"/>
  <c r="J63" i="2"/>
  <c r="AI63" i="2"/>
  <c r="AL63" i="2"/>
  <c r="M63" i="2" l="1"/>
  <c r="N63" i="2"/>
  <c r="I63" i="2"/>
  <c r="Y73" i="2"/>
  <c r="AJ73" i="2"/>
  <c r="AM64" i="2"/>
  <c r="K63" i="2"/>
  <c r="AR63" i="2"/>
  <c r="AQ63" i="2"/>
  <c r="X73" i="2" l="1"/>
  <c r="Z73" i="2" s="1"/>
  <c r="L63" i="2"/>
  <c r="AK63" i="2"/>
  <c r="AB63" i="2"/>
  <c r="AP64" i="2"/>
  <c r="AN64" i="2"/>
  <c r="O63" i="2" l="1"/>
  <c r="W74" i="2"/>
  <c r="V63" i="2"/>
  <c r="AO64" i="2"/>
  <c r="P63" i="2"/>
  <c r="AC73" i="2"/>
  <c r="H64" i="2"/>
  <c r="Y74" i="2"/>
  <c r="U63" i="2"/>
  <c r="AJ74" i="2"/>
  <c r="X74" i="2" l="1"/>
  <c r="E64" i="2"/>
  <c r="AI64" i="2"/>
  <c r="J64" i="2"/>
  <c r="AC74" i="2"/>
  <c r="AL64" i="2"/>
  <c r="M64" i="2" l="1"/>
  <c r="N64" i="2"/>
  <c r="I64" i="2"/>
  <c r="Z74" i="2"/>
  <c r="K64" i="2"/>
  <c r="D65" i="2"/>
  <c r="AR64" i="2"/>
  <c r="AQ64" i="2"/>
  <c r="AM65" i="2"/>
  <c r="W75" i="2" l="1"/>
  <c r="L64" i="2"/>
  <c r="AK64" i="2"/>
  <c r="AB64" i="2"/>
  <c r="AN65" i="2"/>
  <c r="AP65" i="2"/>
  <c r="O64" i="2" l="1"/>
  <c r="V64" i="2"/>
  <c r="P64" i="2"/>
  <c r="AO65" i="2"/>
  <c r="H65" i="2" s="1"/>
  <c r="Y75" i="2"/>
  <c r="AJ75" i="2"/>
  <c r="E65" i="2"/>
  <c r="D66" i="2"/>
  <c r="X75" i="2" l="1"/>
  <c r="U64" i="2"/>
  <c r="J65" i="2"/>
  <c r="AI65" i="2"/>
  <c r="AC75" i="2"/>
  <c r="AL65" i="2"/>
  <c r="M65" i="2" l="1"/>
  <c r="N65" i="2"/>
  <c r="I65" i="2"/>
  <c r="Z75" i="2"/>
  <c r="AM66" i="2"/>
  <c r="K65" i="2"/>
  <c r="AR65" i="2"/>
  <c r="AQ65" i="2"/>
  <c r="W76" i="2" l="1"/>
  <c r="L65" i="2"/>
  <c r="AK65" i="2"/>
  <c r="AB65" i="2"/>
  <c r="AP66" i="2"/>
  <c r="AN66" i="2"/>
  <c r="O65" i="2" l="1"/>
  <c r="V65" i="2"/>
  <c r="P65" i="2"/>
  <c r="AO66" i="2"/>
  <c r="AJ76" i="2"/>
  <c r="Y76" i="2"/>
  <c r="X76" i="2" l="1"/>
  <c r="Z76" i="2" s="1"/>
  <c r="U65" i="2"/>
  <c r="H66" i="2"/>
  <c r="E66" i="2"/>
  <c r="D67" i="2"/>
  <c r="W77" i="2" l="1"/>
  <c r="J66" i="2"/>
  <c r="AC76" i="2"/>
  <c r="AI66" i="2"/>
  <c r="AL66" i="2"/>
  <c r="M66" i="2" l="1"/>
  <c r="N66" i="2"/>
  <c r="I66" i="2"/>
  <c r="AJ77" i="2"/>
  <c r="AM67" i="2"/>
  <c r="K66" i="2"/>
  <c r="Y77" i="2"/>
  <c r="AR66" i="2"/>
  <c r="AQ66" i="2"/>
  <c r="X77" i="2" l="1"/>
  <c r="Z77" i="2" s="1"/>
  <c r="L66" i="2"/>
  <c r="AC77" i="2"/>
  <c r="AB66" i="2"/>
  <c r="AK66" i="2"/>
  <c r="AP67" i="2"/>
  <c r="AN67" i="2"/>
  <c r="O66" i="2" l="1"/>
  <c r="W78" i="2"/>
  <c r="V66" i="2"/>
  <c r="AO67" i="2"/>
  <c r="P66" i="2"/>
  <c r="H67" i="2"/>
  <c r="AJ78" i="2"/>
  <c r="U66" i="2"/>
  <c r="Y78" i="2"/>
  <c r="E67" i="2"/>
  <c r="D68" i="2"/>
  <c r="X78" i="2" l="1"/>
  <c r="Z78" i="2" s="1"/>
  <c r="AI67" i="2"/>
  <c r="J67" i="2"/>
  <c r="AL67" i="2"/>
  <c r="M67" i="2" l="1"/>
  <c r="N67" i="2"/>
  <c r="I67" i="2"/>
  <c r="W79" i="2"/>
  <c r="AM68" i="2"/>
  <c r="K67" i="2"/>
  <c r="AC78" i="2"/>
  <c r="AR67" i="2"/>
  <c r="AQ67" i="2"/>
  <c r="L67" i="2"/>
  <c r="AB67" i="2"/>
  <c r="AK67" i="2"/>
  <c r="Y79" i="2"/>
  <c r="AJ79" i="2"/>
  <c r="AP68" i="2"/>
  <c r="AN68" i="2"/>
  <c r="X79" i="2" l="1"/>
  <c r="O67" i="2"/>
  <c r="P67" i="2"/>
  <c r="V67" i="2"/>
  <c r="AO68" i="2"/>
  <c r="AC79" i="2"/>
  <c r="Z79" i="2" l="1"/>
  <c r="H68" i="2"/>
  <c r="U67" i="2"/>
  <c r="E68" i="2"/>
  <c r="D69" i="2"/>
  <c r="W80" i="2" l="1"/>
  <c r="J68" i="2"/>
  <c r="AI68" i="2"/>
  <c r="AL68" i="2"/>
  <c r="M68" i="2" l="1"/>
  <c r="N68" i="2"/>
  <c r="I68" i="2"/>
  <c r="AJ80" i="2"/>
  <c r="Y80" i="2"/>
  <c r="AM69" i="2"/>
  <c r="K68" i="2"/>
  <c r="AR68" i="2"/>
  <c r="AQ68" i="2"/>
  <c r="X80" i="2" l="1"/>
  <c r="Z80" i="2" s="1"/>
  <c r="L68" i="2"/>
  <c r="AK68" i="2"/>
  <c r="AB68" i="2"/>
  <c r="AP69" i="2"/>
  <c r="AN69" i="2"/>
  <c r="O68" i="2" l="1"/>
  <c r="W81" i="2"/>
  <c r="V68" i="2"/>
  <c r="P68" i="2"/>
  <c r="AO69" i="2"/>
  <c r="AC80" i="2"/>
  <c r="H69" i="2"/>
  <c r="E69" i="2"/>
  <c r="D70" i="2"/>
  <c r="AJ81" i="2"/>
  <c r="J69" i="2"/>
  <c r="AI69" i="2"/>
  <c r="U68" i="2"/>
  <c r="Y81" i="2"/>
  <c r="AL69" i="2"/>
  <c r="X81" i="2" l="1"/>
  <c r="Z81" i="2" s="1"/>
  <c r="M69" i="2"/>
  <c r="N69" i="2"/>
  <c r="I69" i="2"/>
  <c r="AC81" i="2"/>
  <c r="AM70" i="2"/>
  <c r="K69" i="2"/>
  <c r="AR69" i="2"/>
  <c r="AQ69" i="2"/>
  <c r="W82" i="2" l="1"/>
  <c r="L69" i="2"/>
  <c r="AB69" i="2"/>
  <c r="AK69" i="2"/>
  <c r="AP70" i="2"/>
  <c r="AN70" i="2"/>
  <c r="O69" i="2" l="1"/>
  <c r="V69" i="2"/>
  <c r="AO70" i="2"/>
  <c r="P69" i="2"/>
  <c r="AJ82" i="2"/>
  <c r="Y82" i="2"/>
  <c r="X82" i="2" l="1"/>
  <c r="Z82" i="2" s="1"/>
  <c r="H70" i="2"/>
  <c r="U69" i="2"/>
  <c r="E70" i="2"/>
  <c r="D71" i="2"/>
  <c r="W83" i="2" l="1"/>
  <c r="J70" i="2"/>
  <c r="AC82" i="2"/>
  <c r="AI70" i="2"/>
  <c r="AL70" i="2"/>
  <c r="M70" i="2" l="1"/>
  <c r="N70" i="2"/>
  <c r="I70" i="2"/>
  <c r="AM71" i="2"/>
  <c r="K70" i="2"/>
  <c r="AJ83" i="2"/>
  <c r="Y83" i="2"/>
  <c r="AR70" i="2"/>
  <c r="AQ70" i="2"/>
  <c r="X83" i="2" l="1"/>
  <c r="AB70" i="2"/>
  <c r="L70" i="2"/>
  <c r="AK70" i="2"/>
  <c r="AC83" i="2"/>
  <c r="AP71" i="2"/>
  <c r="AN71" i="2"/>
  <c r="O70" i="2" l="1"/>
  <c r="Z83" i="2"/>
  <c r="V70" i="2"/>
  <c r="P70" i="2"/>
  <c r="AO71" i="2"/>
  <c r="H71" i="2"/>
  <c r="E71" i="2"/>
  <c r="D72" i="2"/>
  <c r="W84" i="2" l="1"/>
  <c r="AI71" i="2"/>
  <c r="U70" i="2"/>
  <c r="J71" i="2"/>
  <c r="AL71" i="2"/>
  <c r="M71" i="2" l="1"/>
  <c r="N71" i="2"/>
  <c r="I71" i="2"/>
  <c r="Y84" i="2"/>
  <c r="AM72" i="2"/>
  <c r="K71" i="2"/>
  <c r="AJ84" i="2"/>
  <c r="AR71" i="2"/>
  <c r="AQ71" i="2"/>
  <c r="X84" i="2" l="1"/>
  <c r="L71" i="2"/>
  <c r="AB71" i="2"/>
  <c r="AK71" i="2"/>
  <c r="AC84" i="2"/>
  <c r="AP72" i="2"/>
  <c r="AN72" i="2"/>
  <c r="O71" i="2" l="1"/>
  <c r="Z84" i="2"/>
  <c r="V71" i="2"/>
  <c r="P71" i="2"/>
  <c r="AO72" i="2"/>
  <c r="H72" i="2" s="1"/>
  <c r="E72" i="2"/>
  <c r="D73" i="2"/>
  <c r="W85" i="2" l="1"/>
  <c r="AI72" i="2"/>
  <c r="J72" i="2"/>
  <c r="U71" i="2"/>
  <c r="AL72" i="2"/>
  <c r="M72" i="2" l="1"/>
  <c r="N72" i="2"/>
  <c r="I72" i="2"/>
  <c r="AJ85" i="2"/>
  <c r="Y85" i="2"/>
  <c r="AM73" i="2"/>
  <c r="K72" i="2"/>
  <c r="AR72" i="2"/>
  <c r="AQ72" i="2"/>
  <c r="X85" i="2" l="1"/>
  <c r="Z85" i="2" s="1"/>
  <c r="L72" i="2"/>
  <c r="AK72" i="2"/>
  <c r="AB72" i="2"/>
  <c r="AP73" i="2"/>
  <c r="AN73" i="2"/>
  <c r="O72" i="2" l="1"/>
  <c r="W86" i="2"/>
  <c r="V72" i="2"/>
  <c r="AO73" i="2"/>
  <c r="P72" i="2"/>
  <c r="AC85" i="2"/>
  <c r="H73" i="2"/>
  <c r="Y86" i="2"/>
  <c r="U72" i="2"/>
  <c r="AJ86" i="2"/>
  <c r="E73" i="2"/>
  <c r="D74" i="2"/>
  <c r="X86" i="2" l="1"/>
  <c r="J73" i="2"/>
  <c r="AI73" i="2"/>
  <c r="AC86" i="2"/>
  <c r="AL73" i="2"/>
  <c r="M73" i="2" l="1"/>
  <c r="N73" i="2"/>
  <c r="I73" i="2"/>
  <c r="Z86" i="2"/>
  <c r="K73" i="2"/>
  <c r="AR73" i="2"/>
  <c r="AQ73" i="2"/>
  <c r="W87" i="2" l="1"/>
  <c r="L73" i="2"/>
  <c r="AK73" i="2"/>
  <c r="AB73" i="2"/>
  <c r="AP74" i="2"/>
  <c r="AN74" i="2"/>
  <c r="O73" i="2" l="1"/>
  <c r="AM74" i="2"/>
  <c r="P73" i="2"/>
  <c r="V73" i="2"/>
  <c r="AO74" i="2"/>
  <c r="H74" i="2"/>
  <c r="Y87" i="2"/>
  <c r="AJ87" i="2"/>
  <c r="E74" i="2"/>
  <c r="D75" i="2"/>
  <c r="X87" i="2" l="1"/>
  <c r="Z87" i="2" s="1"/>
  <c r="U73" i="2"/>
  <c r="J74" i="2"/>
  <c r="AI74" i="2"/>
  <c r="AL74" i="2"/>
  <c r="M74" i="2" l="1"/>
  <c r="N74" i="2"/>
  <c r="I74" i="2"/>
  <c r="W88" i="2"/>
  <c r="AM75" i="2"/>
  <c r="K74" i="2"/>
  <c r="AC87" i="2"/>
  <c r="AR74" i="2"/>
  <c r="AQ74" i="2"/>
  <c r="L74" i="2"/>
  <c r="AB74" i="2"/>
  <c r="AK74" i="2"/>
  <c r="AJ88" i="2"/>
  <c r="Y88" i="2"/>
  <c r="AP75" i="2"/>
  <c r="AN75" i="2"/>
  <c r="X88" i="2" l="1"/>
  <c r="O74" i="2"/>
  <c r="AO75" i="2"/>
  <c r="V74" i="2"/>
  <c r="H75" i="2"/>
  <c r="P74" i="2"/>
  <c r="AC88" i="2"/>
  <c r="E75" i="2"/>
  <c r="D76" i="2"/>
  <c r="Z88" i="2" l="1"/>
  <c r="AI75" i="2"/>
  <c r="J75" i="2"/>
  <c r="U74" i="2"/>
  <c r="AL75" i="2"/>
  <c r="M75" i="2" l="1"/>
  <c r="N75" i="2"/>
  <c r="I75" i="2"/>
  <c r="W89" i="2"/>
  <c r="AM76" i="2"/>
  <c r="K75" i="2"/>
  <c r="AR75" i="2"/>
  <c r="AQ75" i="2"/>
  <c r="L75" i="2"/>
  <c r="AB75" i="2"/>
  <c r="AK75" i="2"/>
  <c r="Y89" i="2"/>
  <c r="AJ89" i="2"/>
  <c r="AP76" i="2"/>
  <c r="AN76" i="2"/>
  <c r="X89" i="2" l="1"/>
  <c r="O75" i="2"/>
  <c r="AO76" i="2"/>
  <c r="H76" i="2"/>
  <c r="V75" i="2"/>
  <c r="P75" i="2"/>
  <c r="AC89" i="2"/>
  <c r="Z89" i="2" l="1"/>
  <c r="U75" i="2"/>
  <c r="J76" i="2"/>
  <c r="E76" i="2"/>
  <c r="AI76" i="2"/>
  <c r="AL76" i="2"/>
  <c r="D77" i="2"/>
  <c r="M76" i="2" l="1"/>
  <c r="N76" i="2"/>
  <c r="I76" i="2"/>
  <c r="W90" i="2"/>
  <c r="AM77" i="2"/>
  <c r="K76" i="2"/>
  <c r="AR76" i="2"/>
  <c r="AQ76" i="2"/>
  <c r="L76" i="2"/>
  <c r="AB76" i="2"/>
  <c r="Y90" i="2"/>
  <c r="AK76" i="2"/>
  <c r="AJ90" i="2"/>
  <c r="AP77" i="2"/>
  <c r="AN77" i="2"/>
  <c r="X90" i="2" l="1"/>
  <c r="O76" i="2"/>
  <c r="P76" i="2"/>
  <c r="V76" i="2"/>
  <c r="AO77" i="2"/>
  <c r="AC90" i="2"/>
  <c r="Z90" i="2" l="1"/>
  <c r="H77" i="2"/>
  <c r="U76" i="2"/>
  <c r="E77" i="2"/>
  <c r="D78" i="2"/>
  <c r="W91" i="2" l="1"/>
  <c r="J77" i="2"/>
  <c r="AI77" i="2"/>
  <c r="AL77" i="2"/>
  <c r="M77" i="2" l="1"/>
  <c r="N77" i="2"/>
  <c r="I77" i="2"/>
  <c r="AJ91" i="2"/>
  <c r="Y91" i="2"/>
  <c r="AM78" i="2"/>
  <c r="K77" i="2"/>
  <c r="AR77" i="2"/>
  <c r="AQ77" i="2"/>
  <c r="X91" i="2" l="1"/>
  <c r="Z91" i="2" s="1"/>
  <c r="L77" i="2"/>
  <c r="AK77" i="2"/>
  <c r="AB77" i="2"/>
  <c r="AP78" i="2"/>
  <c r="AN78" i="2"/>
  <c r="O77" i="2" l="1"/>
  <c r="W92" i="2"/>
  <c r="V77" i="2"/>
  <c r="AO78" i="2"/>
  <c r="P77" i="2"/>
  <c r="H78" i="2"/>
  <c r="AC91" i="2"/>
  <c r="E78" i="2"/>
  <c r="D79" i="2"/>
  <c r="AJ92" i="2"/>
  <c r="AI78" i="2"/>
  <c r="J78" i="2"/>
  <c r="U77" i="2"/>
  <c r="Y92" i="2"/>
  <c r="AL78" i="2"/>
  <c r="X92" i="2" l="1"/>
  <c r="Z92" i="2" s="1"/>
  <c r="M78" i="2"/>
  <c r="N78" i="2"/>
  <c r="I78" i="2"/>
  <c r="AM79" i="2"/>
  <c r="K78" i="2"/>
  <c r="AC92" i="2"/>
  <c r="AR78" i="2"/>
  <c r="AQ78" i="2"/>
  <c r="W93" i="2" l="1"/>
  <c r="L78" i="2"/>
  <c r="AK78" i="2"/>
  <c r="AB78" i="2"/>
  <c r="AP79" i="2"/>
  <c r="AN79" i="2"/>
  <c r="O78" i="2" l="1"/>
  <c r="V78" i="2"/>
  <c r="P78" i="2"/>
  <c r="Y93" i="2"/>
  <c r="AO79" i="2"/>
  <c r="AJ93" i="2"/>
  <c r="X93" i="2" l="1"/>
  <c r="H79" i="2"/>
  <c r="U78" i="2"/>
  <c r="AC93" i="2"/>
  <c r="E79" i="2"/>
  <c r="D80" i="2"/>
  <c r="Z93" i="2" l="1"/>
  <c r="AI79" i="2"/>
  <c r="J79" i="2"/>
  <c r="AL79" i="2"/>
  <c r="M79" i="2" l="1"/>
  <c r="N79" i="2"/>
  <c r="I79" i="2"/>
  <c r="W94" i="2"/>
  <c r="AM80" i="2"/>
  <c r="K79" i="2"/>
  <c r="AR79" i="2"/>
  <c r="AQ79" i="2"/>
  <c r="L79" i="2"/>
  <c r="AB79" i="2"/>
  <c r="Y94" i="2"/>
  <c r="AK79" i="2"/>
  <c r="AJ94" i="2"/>
  <c r="AP80" i="2"/>
  <c r="AN80" i="2"/>
  <c r="X94" i="2" l="1"/>
  <c r="O79" i="2"/>
  <c r="P79" i="2"/>
  <c r="V79" i="2"/>
  <c r="AO80" i="2"/>
  <c r="AC94" i="2"/>
  <c r="Z94" i="2" l="1"/>
  <c r="H80" i="2"/>
  <c r="U79" i="2"/>
  <c r="E80" i="2"/>
  <c r="D81" i="2"/>
  <c r="W95" i="2" l="1"/>
  <c r="AI80" i="2"/>
  <c r="J80" i="2"/>
  <c r="AL80" i="2"/>
  <c r="M80" i="2" l="1"/>
  <c r="N80" i="2"/>
  <c r="I80" i="2"/>
  <c r="AJ95" i="2"/>
  <c r="AM81" i="2"/>
  <c r="K80" i="2"/>
  <c r="Y95" i="2"/>
  <c r="AR80" i="2"/>
  <c r="AQ80" i="2"/>
  <c r="X95" i="2" l="1"/>
  <c r="Z95" i="2" s="1"/>
  <c r="AK80" i="2"/>
  <c r="AC95" i="2"/>
  <c r="L80" i="2"/>
  <c r="AB80" i="2"/>
  <c r="AP81" i="2"/>
  <c r="AN81" i="2"/>
  <c r="O80" i="2" l="1"/>
  <c r="W96" i="2"/>
  <c r="V80" i="2"/>
  <c r="P80" i="2"/>
  <c r="AO81" i="2"/>
  <c r="H81" i="2"/>
  <c r="U80" i="2"/>
  <c r="Y96" i="2"/>
  <c r="AJ96" i="2"/>
  <c r="E81" i="2"/>
  <c r="D82" i="2"/>
  <c r="X96" i="2" l="1"/>
  <c r="Z96" i="2" s="1"/>
  <c r="J81" i="2"/>
  <c r="AI81" i="2"/>
  <c r="AL81" i="2"/>
  <c r="M81" i="2" l="1"/>
  <c r="N81" i="2"/>
  <c r="I81" i="2"/>
  <c r="W97" i="2"/>
  <c r="AC96" i="2"/>
  <c r="AM82" i="2"/>
  <c r="K81" i="2"/>
  <c r="AR81" i="2"/>
  <c r="AQ81" i="2"/>
  <c r="L81" i="2"/>
  <c r="AK81" i="2"/>
  <c r="AJ97" i="2"/>
  <c r="AB81" i="2"/>
  <c r="Y97" i="2"/>
  <c r="AP82" i="2"/>
  <c r="AN82" i="2"/>
  <c r="X97" i="2" l="1"/>
  <c r="O81" i="2"/>
  <c r="P81" i="2"/>
  <c r="V81" i="2"/>
  <c r="AO82" i="2"/>
  <c r="AC97" i="2"/>
  <c r="Z97" i="2" l="1"/>
  <c r="H82" i="2"/>
  <c r="U81" i="2"/>
  <c r="E82" i="2"/>
  <c r="D83" i="2"/>
  <c r="W98" i="2" l="1"/>
  <c r="J82" i="2"/>
  <c r="AI82" i="2"/>
  <c r="AL82" i="2"/>
  <c r="M82" i="2" l="1"/>
  <c r="N82" i="2"/>
  <c r="I82" i="2"/>
  <c r="AM83" i="2"/>
  <c r="K82" i="2"/>
  <c r="Y98" i="2"/>
  <c r="AJ98" i="2"/>
  <c r="AR82" i="2"/>
  <c r="AQ82" i="2"/>
  <c r="X98" i="2" l="1"/>
  <c r="AB82" i="2"/>
  <c r="L82" i="2"/>
  <c r="AK82" i="2"/>
  <c r="AC98" i="2"/>
  <c r="AP83" i="2"/>
  <c r="AN83" i="2"/>
  <c r="O82" i="2" l="1"/>
  <c r="Z98" i="2"/>
  <c r="V82" i="2"/>
  <c r="AO83" i="2"/>
  <c r="P82" i="2"/>
  <c r="W99" i="2" l="1"/>
  <c r="H83" i="2"/>
  <c r="U82" i="2"/>
  <c r="E83" i="2"/>
  <c r="D84" i="2"/>
  <c r="AI83" i="2"/>
  <c r="AJ99" i="2"/>
  <c r="J83" i="2"/>
  <c r="Y99" i="2"/>
  <c r="AL83" i="2"/>
  <c r="X99" i="2" l="1"/>
  <c r="Z99" i="2" s="1"/>
  <c r="M83" i="2"/>
  <c r="N83" i="2"/>
  <c r="I83" i="2"/>
  <c r="AM84" i="2"/>
  <c r="K83" i="2"/>
  <c r="AC99" i="2"/>
  <c r="AR83" i="2"/>
  <c r="AQ83" i="2"/>
  <c r="W100" i="2" l="1"/>
  <c r="L83" i="2"/>
  <c r="AK83" i="2"/>
  <c r="AB83" i="2"/>
  <c r="AP84" i="2"/>
  <c r="AN84" i="2"/>
  <c r="O83" i="2" l="1"/>
  <c r="V83" i="2"/>
  <c r="AO84" i="2"/>
  <c r="Y100" i="2"/>
  <c r="P83" i="2"/>
  <c r="H84" i="2"/>
  <c r="AJ100" i="2"/>
  <c r="E84" i="2"/>
  <c r="D85" i="2"/>
  <c r="X100" i="2" l="1"/>
  <c r="J84" i="2"/>
  <c r="AI84" i="2"/>
  <c r="U83" i="2"/>
  <c r="AC100" i="2"/>
  <c r="AL84" i="2"/>
  <c r="M84" i="2" l="1"/>
  <c r="N84" i="2"/>
  <c r="I84" i="2"/>
  <c r="Z100" i="2"/>
  <c r="AM85" i="2"/>
  <c r="K84" i="2"/>
  <c r="AR84" i="2"/>
  <c r="AQ84" i="2"/>
  <c r="W101" i="2" l="1"/>
  <c r="L84" i="2"/>
  <c r="AB84" i="2"/>
  <c r="AK84" i="2"/>
  <c r="AP85" i="2"/>
  <c r="AN85" i="2"/>
  <c r="O84" i="2" l="1"/>
  <c r="V84" i="2"/>
  <c r="P84" i="2"/>
  <c r="AO85" i="2"/>
  <c r="AJ101" i="2"/>
  <c r="H85" i="2"/>
  <c r="Y101" i="2"/>
  <c r="E85" i="2"/>
  <c r="D86" i="2"/>
  <c r="X101" i="2" l="1"/>
  <c r="Z101" i="2" s="1"/>
  <c r="J85" i="2"/>
  <c r="AC101" i="2"/>
  <c r="U84" i="2"/>
  <c r="AI85" i="2"/>
  <c r="AL85" i="2"/>
  <c r="M85" i="2" l="1"/>
  <c r="N85" i="2"/>
  <c r="I85" i="2"/>
  <c r="W102" i="2"/>
  <c r="AM86" i="2"/>
  <c r="K85" i="2"/>
  <c r="AR85" i="2"/>
  <c r="AQ85" i="2"/>
  <c r="L85" i="2"/>
  <c r="AB85" i="2"/>
  <c r="AJ102" i="2"/>
  <c r="AK85" i="2"/>
  <c r="Y102" i="2"/>
  <c r="AP86" i="2"/>
  <c r="AN86" i="2"/>
  <c r="X102" i="2" l="1"/>
  <c r="Z102" i="2" s="1"/>
  <c r="O85" i="2"/>
  <c r="V85" i="2"/>
  <c r="P85" i="2"/>
  <c r="AO86" i="2"/>
  <c r="W103" i="2" l="1"/>
  <c r="H86" i="2"/>
  <c r="AC102" i="2"/>
  <c r="U85" i="2"/>
  <c r="E86" i="2"/>
  <c r="D87" i="2"/>
  <c r="AJ103" i="2"/>
  <c r="J86" i="2"/>
  <c r="AI86" i="2"/>
  <c r="Y103" i="2"/>
  <c r="AL86" i="2"/>
  <c r="X103" i="2" l="1"/>
  <c r="Z103" i="2" s="1"/>
  <c r="M86" i="2"/>
  <c r="N86" i="2"/>
  <c r="I86" i="2"/>
  <c r="AC103" i="2"/>
  <c r="AM87" i="2"/>
  <c r="K86" i="2"/>
  <c r="AR86" i="2"/>
  <c r="AQ86" i="2"/>
  <c r="W104" i="2" l="1"/>
  <c r="L86" i="2"/>
  <c r="AK86" i="2"/>
  <c r="AB86" i="2"/>
  <c r="AP87" i="2"/>
  <c r="AN87" i="2"/>
  <c r="O86" i="2" l="1"/>
  <c r="V86" i="2"/>
  <c r="AO87" i="2"/>
  <c r="P86" i="2"/>
  <c r="AJ104" i="2"/>
  <c r="Y104" i="2"/>
  <c r="X104" i="2" l="1"/>
  <c r="Z104" i="2" s="1"/>
  <c r="U86" i="2"/>
  <c r="H87" i="2"/>
  <c r="E87" i="2"/>
  <c r="D88" i="2"/>
  <c r="W105" i="2" l="1"/>
  <c r="J87" i="2"/>
  <c r="AI87" i="2"/>
  <c r="AC104" i="2"/>
  <c r="AL87" i="2"/>
  <c r="M87" i="2" l="1"/>
  <c r="N87" i="2"/>
  <c r="I87" i="2"/>
  <c r="AM88" i="2"/>
  <c r="K87" i="2"/>
  <c r="AJ105" i="2"/>
  <c r="Y105" i="2"/>
  <c r="AR87" i="2"/>
  <c r="AQ87" i="2"/>
  <c r="X105" i="2" l="1"/>
  <c r="Z105" i="2" s="1"/>
  <c r="L87" i="2"/>
  <c r="AK87" i="2"/>
  <c r="AB87" i="2"/>
  <c r="AP88" i="2"/>
  <c r="AN88" i="2"/>
  <c r="O87" i="2" l="1"/>
  <c r="W106" i="2"/>
  <c r="V87" i="2"/>
  <c r="AO88" i="2"/>
  <c r="P87" i="2"/>
  <c r="AC105" i="2"/>
  <c r="H88" i="2"/>
  <c r="U87" i="2"/>
  <c r="Y106" i="2"/>
  <c r="AJ106" i="2"/>
  <c r="E88" i="2"/>
  <c r="D89" i="2"/>
  <c r="X106" i="2" l="1"/>
  <c r="J88" i="2"/>
  <c r="AI88" i="2"/>
  <c r="AC106" i="2"/>
  <c r="AL88" i="2"/>
  <c r="M88" i="2" l="1"/>
  <c r="N88" i="2"/>
  <c r="I88" i="2"/>
  <c r="Z106" i="2"/>
  <c r="AM89" i="2"/>
  <c r="K88" i="2"/>
  <c r="AR88" i="2"/>
  <c r="AQ88" i="2"/>
  <c r="W107" i="2" l="1"/>
  <c r="L88" i="2"/>
  <c r="AB88" i="2"/>
  <c r="AK88" i="2"/>
  <c r="AP89" i="2"/>
  <c r="AN89" i="2"/>
  <c r="O88" i="2" l="1"/>
  <c r="V88" i="2"/>
  <c r="AO89" i="2"/>
  <c r="P88" i="2"/>
  <c r="Y107" i="2"/>
  <c r="AJ107" i="2"/>
  <c r="X107" i="2" l="1"/>
  <c r="U88" i="2"/>
  <c r="H89" i="2"/>
  <c r="AC107" i="2"/>
  <c r="E89" i="2"/>
  <c r="D90" i="2"/>
  <c r="Z107" i="2" l="1"/>
  <c r="J89" i="2"/>
  <c r="AI89" i="2"/>
  <c r="AL89" i="2"/>
  <c r="M89" i="2" l="1"/>
  <c r="N89" i="2"/>
  <c r="I89" i="2"/>
  <c r="W108" i="2"/>
  <c r="AM90" i="2"/>
  <c r="K89" i="2"/>
  <c r="AR89" i="2"/>
  <c r="AQ89" i="2"/>
  <c r="L89" i="2"/>
  <c r="AB89" i="2"/>
  <c r="Y108" i="2"/>
  <c r="AK89" i="2"/>
  <c r="AJ108" i="2"/>
  <c r="AP90" i="2"/>
  <c r="AN90" i="2"/>
  <c r="X108" i="2" l="1"/>
  <c r="O89" i="2"/>
  <c r="V89" i="2"/>
  <c r="P89" i="2"/>
  <c r="AO90" i="2"/>
  <c r="H90" i="2"/>
  <c r="AC108" i="2"/>
  <c r="E90" i="2"/>
  <c r="D91" i="2"/>
  <c r="Z108" i="2" l="1"/>
  <c r="J90" i="2"/>
  <c r="AI90" i="2"/>
  <c r="U89" i="2"/>
  <c r="AL90" i="2"/>
  <c r="M90" i="2" l="1"/>
  <c r="N90" i="2"/>
  <c r="I90" i="2"/>
  <c r="W109" i="2"/>
  <c r="AM91" i="2"/>
  <c r="K90" i="2"/>
  <c r="AR90" i="2"/>
  <c r="AQ90" i="2"/>
  <c r="L90" i="2"/>
  <c r="AB90" i="2"/>
  <c r="Y109" i="2"/>
  <c r="AK90" i="2"/>
  <c r="AJ109" i="2"/>
  <c r="AP91" i="2"/>
  <c r="AN91" i="2"/>
  <c r="X109" i="2" l="1"/>
  <c r="O90" i="2"/>
  <c r="V90" i="2"/>
  <c r="P90" i="2"/>
  <c r="AO91" i="2"/>
  <c r="H91" i="2" s="1"/>
  <c r="AC109" i="2"/>
  <c r="E91" i="2"/>
  <c r="D92" i="2"/>
  <c r="Z109" i="2" l="1"/>
  <c r="AI91" i="2"/>
  <c r="U90" i="2"/>
  <c r="J91" i="2"/>
  <c r="AL91" i="2"/>
  <c r="M91" i="2" l="1"/>
  <c r="N91" i="2"/>
  <c r="I91" i="2"/>
  <c r="W110" i="2"/>
  <c r="AM92" i="2"/>
  <c r="K91" i="2"/>
  <c r="AR91" i="2"/>
  <c r="AQ91" i="2"/>
  <c r="L91" i="2"/>
  <c r="Y110" i="2"/>
  <c r="AK91" i="2"/>
  <c r="AB91" i="2"/>
  <c r="AJ110" i="2"/>
  <c r="AP92" i="2"/>
  <c r="AN92" i="2"/>
  <c r="X110" i="2" l="1"/>
  <c r="O91" i="2"/>
  <c r="AO92" i="2"/>
  <c r="V91" i="2"/>
  <c r="P91" i="2"/>
  <c r="AC110" i="2"/>
  <c r="Z110" i="2" l="1"/>
  <c r="U91" i="2"/>
  <c r="H92" i="2"/>
  <c r="E92" i="2"/>
  <c r="D93" i="2"/>
  <c r="W111" i="2" l="1"/>
  <c r="AI92" i="2"/>
  <c r="J92" i="2"/>
  <c r="AL92" i="2"/>
  <c r="M92" i="2" l="1"/>
  <c r="N92" i="2"/>
  <c r="I92" i="2"/>
  <c r="AJ111" i="2"/>
  <c r="AM93" i="2"/>
  <c r="K92" i="2"/>
  <c r="Y111" i="2"/>
  <c r="AR92" i="2"/>
  <c r="AQ92" i="2"/>
  <c r="X111" i="2" l="1"/>
  <c r="Z111" i="2" s="1"/>
  <c r="AB92" i="2"/>
  <c r="L92" i="2"/>
  <c r="AC111" i="2"/>
  <c r="AK92" i="2"/>
  <c r="AP93" i="2"/>
  <c r="AN93" i="2"/>
  <c r="O92" i="2" l="1"/>
  <c r="W112" i="2"/>
  <c r="V92" i="2"/>
  <c r="P92" i="2"/>
  <c r="AO93" i="2"/>
  <c r="H93" i="2" s="1"/>
  <c r="E93" i="2"/>
  <c r="D94" i="2"/>
  <c r="Y112" i="2"/>
  <c r="J93" i="2"/>
  <c r="AI93" i="2"/>
  <c r="U92" i="2"/>
  <c r="AJ112" i="2"/>
  <c r="AL93" i="2"/>
  <c r="M93" i="2" l="1"/>
  <c r="N93" i="2"/>
  <c r="I93" i="2"/>
  <c r="X112" i="2"/>
  <c r="AM94" i="2"/>
  <c r="K93" i="2"/>
  <c r="AC112" i="2"/>
  <c r="AR93" i="2"/>
  <c r="AQ93" i="2"/>
  <c r="Z112" i="2" l="1"/>
  <c r="L93" i="2"/>
  <c r="AK93" i="2"/>
  <c r="AB93" i="2"/>
  <c r="AP94" i="2"/>
  <c r="AN94" i="2"/>
  <c r="O93" i="2" l="1"/>
  <c r="W113" i="2"/>
  <c r="V93" i="2"/>
  <c r="AO94" i="2"/>
  <c r="P93" i="2"/>
  <c r="H94" i="2"/>
  <c r="Y113" i="2"/>
  <c r="U93" i="2"/>
  <c r="AJ113" i="2"/>
  <c r="E94" i="2"/>
  <c r="D95" i="2"/>
  <c r="X113" i="2" l="1"/>
  <c r="J94" i="2"/>
  <c r="AI94" i="2"/>
  <c r="AC113" i="2"/>
  <c r="AL94" i="2"/>
  <c r="M94" i="2" l="1"/>
  <c r="N94" i="2"/>
  <c r="I94" i="2"/>
  <c r="Z113" i="2"/>
  <c r="AM95" i="2"/>
  <c r="K94" i="2"/>
  <c r="AR94" i="2"/>
  <c r="AQ94" i="2"/>
  <c r="W114" i="2" l="1"/>
  <c r="L94" i="2"/>
  <c r="AB94" i="2"/>
  <c r="AK94" i="2"/>
  <c r="AP95" i="2"/>
  <c r="AN95" i="2"/>
  <c r="O94" i="2" l="1"/>
  <c r="V94" i="2"/>
  <c r="AO95" i="2"/>
  <c r="P94" i="2"/>
  <c r="H95" i="2"/>
  <c r="Y114" i="2"/>
  <c r="AJ114" i="2"/>
  <c r="E95" i="2"/>
  <c r="D96" i="2"/>
  <c r="X114" i="2" l="1"/>
  <c r="Z114" i="2" s="1"/>
  <c r="U94" i="2"/>
  <c r="J95" i="2"/>
  <c r="AI95" i="2"/>
  <c r="AL95" i="2"/>
  <c r="M95" i="2" l="1"/>
  <c r="N95" i="2"/>
  <c r="I95" i="2"/>
  <c r="W115" i="2"/>
  <c r="AM96" i="2"/>
  <c r="K95" i="2"/>
  <c r="AC114" i="2"/>
  <c r="AR95" i="2"/>
  <c r="AQ95" i="2"/>
  <c r="L95" i="2"/>
  <c r="AB95" i="2"/>
  <c r="AJ115" i="2"/>
  <c r="AK95" i="2"/>
  <c r="Y115" i="2"/>
  <c r="AP96" i="2"/>
  <c r="AN96" i="2"/>
  <c r="X115" i="2" l="1"/>
  <c r="Z115" i="2" s="1"/>
  <c r="O95" i="2"/>
  <c r="V95" i="2"/>
  <c r="P95" i="2"/>
  <c r="AO96" i="2"/>
  <c r="H96" i="2"/>
  <c r="E96" i="2"/>
  <c r="D97" i="2"/>
  <c r="W116" i="2" l="1"/>
  <c r="AI96" i="2"/>
  <c r="J96" i="2"/>
  <c r="U95" i="2"/>
  <c r="AC115" i="2"/>
  <c r="AL96" i="2"/>
  <c r="M96" i="2" l="1"/>
  <c r="N96" i="2"/>
  <c r="I96" i="2"/>
  <c r="AJ116" i="2"/>
  <c r="AM97" i="2"/>
  <c r="K96" i="2"/>
  <c r="Y116" i="2"/>
  <c r="AR96" i="2"/>
  <c r="AQ96" i="2"/>
  <c r="X116" i="2" l="1"/>
  <c r="Z116" i="2" s="1"/>
  <c r="AB96" i="2"/>
  <c r="L96" i="2"/>
  <c r="AC116" i="2"/>
  <c r="AK96" i="2"/>
  <c r="AP97" i="2"/>
  <c r="AN97" i="2"/>
  <c r="O96" i="2" l="1"/>
  <c r="W117" i="2"/>
  <c r="V96" i="2"/>
  <c r="P96" i="2"/>
  <c r="AO97" i="2"/>
  <c r="H97" i="2"/>
  <c r="AJ117" i="2"/>
  <c r="U96" i="2"/>
  <c r="Y117" i="2"/>
  <c r="X117" i="2" l="1"/>
  <c r="Z117" i="2" s="1"/>
  <c r="E97" i="2"/>
  <c r="J97" i="2"/>
  <c r="AI97" i="2"/>
  <c r="AL97" i="2"/>
  <c r="M97" i="2" l="1"/>
  <c r="N97" i="2"/>
  <c r="I97" i="2"/>
  <c r="W118" i="2"/>
  <c r="K97" i="2"/>
  <c r="D98" i="2"/>
  <c r="AC117" i="2"/>
  <c r="AR97" i="2"/>
  <c r="AQ97" i="2"/>
  <c r="AM98" i="2"/>
  <c r="L97" i="2"/>
  <c r="AB97" i="2"/>
  <c r="Y118" i="2"/>
  <c r="AK97" i="2"/>
  <c r="AJ118" i="2"/>
  <c r="AN98" i="2"/>
  <c r="AP98" i="2"/>
  <c r="X118" i="2" l="1"/>
  <c r="O97" i="2"/>
  <c r="AO98" i="2"/>
  <c r="V97" i="2"/>
  <c r="H98" i="2"/>
  <c r="P97" i="2"/>
  <c r="AC118" i="2"/>
  <c r="Z118" i="2" l="1"/>
  <c r="E98" i="2"/>
  <c r="J98" i="2"/>
  <c r="U97" i="2"/>
  <c r="AI98" i="2"/>
  <c r="AL98" i="2"/>
  <c r="M98" i="2" l="1"/>
  <c r="N98" i="2"/>
  <c r="I98" i="2"/>
  <c r="W119" i="2"/>
  <c r="K98" i="2"/>
  <c r="D99" i="2"/>
  <c r="AR98" i="2"/>
  <c r="AQ98" i="2"/>
  <c r="AM99" i="2"/>
  <c r="L98" i="2"/>
  <c r="AK98" i="2"/>
  <c r="AJ119" i="2"/>
  <c r="AB98" i="2"/>
  <c r="Y119" i="2"/>
  <c r="AN99" i="2"/>
  <c r="AP99" i="2"/>
  <c r="X119" i="2" l="1"/>
  <c r="Z119" i="2" s="1"/>
  <c r="O98" i="2"/>
  <c r="V98" i="2"/>
  <c r="P98" i="2"/>
  <c r="AO99" i="2"/>
  <c r="H99" i="2" s="1"/>
  <c r="E99" i="2"/>
  <c r="D100" i="2"/>
  <c r="W120" i="2" l="1"/>
  <c r="J99" i="2"/>
  <c r="AI99" i="2"/>
  <c r="U98" i="2"/>
  <c r="AC119" i="2"/>
  <c r="AL99" i="2"/>
  <c r="M99" i="2" l="1"/>
  <c r="N99" i="2"/>
  <c r="I99" i="2"/>
  <c r="AM100" i="2"/>
  <c r="K99" i="2"/>
  <c r="AJ120" i="2"/>
  <c r="Y120" i="2"/>
  <c r="AR99" i="2"/>
  <c r="AQ99" i="2"/>
  <c r="X120" i="2" l="1"/>
  <c r="Z120" i="2" s="1"/>
  <c r="L99" i="2"/>
  <c r="AB99" i="2"/>
  <c r="AK99" i="2"/>
  <c r="AP100" i="2"/>
  <c r="AN100" i="2"/>
  <c r="O99" i="2" l="1"/>
  <c r="W121" i="2"/>
  <c r="V99" i="2"/>
  <c r="P99" i="2"/>
  <c r="AO100" i="2"/>
  <c r="AC120" i="2"/>
  <c r="H100" i="2"/>
  <c r="E100" i="2"/>
  <c r="D101" i="2"/>
  <c r="Y121" i="2"/>
  <c r="AI100" i="2"/>
  <c r="U99" i="2"/>
  <c r="J100" i="2"/>
  <c r="AJ121" i="2"/>
  <c r="AL100" i="2"/>
  <c r="M100" i="2" l="1"/>
  <c r="N100" i="2"/>
  <c r="I100" i="2"/>
  <c r="X121" i="2"/>
  <c r="AM101" i="2"/>
  <c r="K100" i="2"/>
  <c r="AC121" i="2"/>
  <c r="AR100" i="2"/>
  <c r="AQ100" i="2"/>
  <c r="Z121" i="2" l="1"/>
  <c r="L100" i="2"/>
  <c r="AK100" i="2"/>
  <c r="AB100" i="2"/>
  <c r="AP101" i="2"/>
  <c r="AN101" i="2"/>
  <c r="O100" i="2" l="1"/>
  <c r="W122" i="2"/>
  <c r="V100" i="2"/>
  <c r="AO101" i="2"/>
  <c r="P100" i="2"/>
  <c r="H101" i="2"/>
  <c r="E101" i="2"/>
  <c r="D102" i="2"/>
  <c r="AI101" i="2"/>
  <c r="J101" i="2"/>
  <c r="Y122" i="2"/>
  <c r="U100" i="2"/>
  <c r="AJ122" i="2"/>
  <c r="AL101" i="2"/>
  <c r="X122" i="2" l="1"/>
  <c r="M101" i="2"/>
  <c r="N101" i="2"/>
  <c r="I101" i="2"/>
  <c r="AM102" i="2"/>
  <c r="K101" i="2"/>
  <c r="AC122" i="2"/>
  <c r="AR101" i="2"/>
  <c r="AQ101" i="2"/>
  <c r="Z122" i="2" l="1"/>
  <c r="L101" i="2"/>
  <c r="AK101" i="2"/>
  <c r="AB101" i="2"/>
  <c r="AP102" i="2"/>
  <c r="AN102" i="2"/>
  <c r="O101" i="2" l="1"/>
  <c r="W123" i="2"/>
  <c r="V101" i="2"/>
  <c r="P101" i="2"/>
  <c r="AO102" i="2"/>
  <c r="H102" i="2"/>
  <c r="U101" i="2"/>
  <c r="Y123" i="2"/>
  <c r="AJ123" i="2"/>
  <c r="E102" i="2"/>
  <c r="D103" i="2"/>
  <c r="X123" i="2" l="1"/>
  <c r="AI102" i="2"/>
  <c r="J102" i="2"/>
  <c r="AC123" i="2"/>
  <c r="AL102" i="2"/>
  <c r="M102" i="2" l="1"/>
  <c r="N102" i="2"/>
  <c r="I102" i="2"/>
  <c r="Z123" i="2"/>
  <c r="AM103" i="2"/>
  <c r="K102" i="2"/>
  <c r="AR102" i="2"/>
  <c r="AQ102" i="2"/>
  <c r="W124" i="2" l="1"/>
  <c r="L102" i="2"/>
  <c r="AB102" i="2"/>
  <c r="AK102" i="2"/>
  <c r="AP103" i="2"/>
  <c r="AN103" i="2"/>
  <c r="O102" i="2" l="1"/>
  <c r="V102" i="2"/>
  <c r="P102" i="2"/>
  <c r="AO103" i="2"/>
  <c r="Y124" i="2"/>
  <c r="AJ124" i="2"/>
  <c r="X124" i="2" l="1"/>
  <c r="H103" i="2"/>
  <c r="U102" i="2"/>
  <c r="AC124" i="2"/>
  <c r="E103" i="2"/>
  <c r="D104" i="2"/>
  <c r="Z124" i="2" l="1"/>
  <c r="AI103" i="2"/>
  <c r="J103" i="2"/>
  <c r="AL103" i="2"/>
  <c r="M103" i="2" l="1"/>
  <c r="N103" i="2"/>
  <c r="I103" i="2"/>
  <c r="W125" i="2"/>
  <c r="AM104" i="2"/>
  <c r="K103" i="2"/>
  <c r="AR103" i="2"/>
  <c r="AQ103" i="2"/>
  <c r="L103" i="2"/>
  <c r="AK103" i="2"/>
  <c r="AB103" i="2"/>
  <c r="Y125" i="2"/>
  <c r="AJ125" i="2"/>
  <c r="AP104" i="2"/>
  <c r="AN104" i="2"/>
  <c r="X125" i="2" l="1"/>
  <c r="O103" i="2"/>
  <c r="V103" i="2"/>
  <c r="P103" i="2"/>
  <c r="AO104" i="2"/>
  <c r="AC125" i="2"/>
  <c r="Z125" i="2" l="1"/>
  <c r="H104" i="2"/>
  <c r="U103" i="2"/>
  <c r="E104" i="2"/>
  <c r="D105" i="2"/>
  <c r="W126" i="2" l="1"/>
  <c r="J104" i="2"/>
  <c r="AI104" i="2"/>
  <c r="AL104" i="2"/>
  <c r="M104" i="2" l="1"/>
  <c r="N104" i="2"/>
  <c r="I104" i="2"/>
  <c r="AJ126" i="2"/>
  <c r="AM105" i="2"/>
  <c r="K104" i="2"/>
  <c r="Y126" i="2"/>
  <c r="AR104" i="2"/>
  <c r="AQ104" i="2"/>
  <c r="X126" i="2" l="1"/>
  <c r="Z126" i="2" s="1"/>
  <c r="L104" i="2"/>
  <c r="AK104" i="2"/>
  <c r="AB104" i="2"/>
  <c r="AP105" i="2"/>
  <c r="AN105" i="2"/>
  <c r="O104" i="2" l="1"/>
  <c r="W127" i="2"/>
  <c r="V104" i="2"/>
  <c r="AC126" i="2"/>
  <c r="P104" i="2"/>
  <c r="AO105" i="2"/>
  <c r="H105" i="2"/>
  <c r="U104" i="2"/>
  <c r="Y127" i="2"/>
  <c r="AJ127" i="2"/>
  <c r="E105" i="2"/>
  <c r="D106" i="2"/>
  <c r="X127" i="2" l="1"/>
  <c r="J105" i="2"/>
  <c r="AI105" i="2"/>
  <c r="AC127" i="2"/>
  <c r="AL105" i="2"/>
  <c r="M105" i="2" l="1"/>
  <c r="N105" i="2"/>
  <c r="I105" i="2"/>
  <c r="Z127" i="2"/>
  <c r="AM106" i="2"/>
  <c r="K105" i="2"/>
  <c r="AR105" i="2"/>
  <c r="AQ105" i="2"/>
  <c r="W128" i="2" l="1"/>
  <c r="L105" i="2"/>
  <c r="AB105" i="2"/>
  <c r="AK105" i="2"/>
  <c r="AP106" i="2"/>
  <c r="AN106" i="2"/>
  <c r="O105" i="2" l="1"/>
  <c r="V105" i="2"/>
  <c r="AO106" i="2"/>
  <c r="P105" i="2"/>
  <c r="H106" i="2"/>
  <c r="Y128" i="2"/>
  <c r="AJ128" i="2"/>
  <c r="E106" i="2"/>
  <c r="D107" i="2"/>
  <c r="X128" i="2" l="1"/>
  <c r="J106" i="2"/>
  <c r="AI106" i="2"/>
  <c r="U105" i="2"/>
  <c r="AC128" i="2"/>
  <c r="AL106" i="2"/>
  <c r="M106" i="2" l="1"/>
  <c r="N106" i="2"/>
  <c r="I106" i="2"/>
  <c r="Z128" i="2"/>
  <c r="AM107" i="2"/>
  <c r="K106" i="2"/>
  <c r="AR106" i="2"/>
  <c r="AQ106" i="2"/>
  <c r="W129" i="2" l="1"/>
  <c r="L106" i="2"/>
  <c r="AK106" i="2"/>
  <c r="AB106" i="2"/>
  <c r="AP107" i="2"/>
  <c r="AN107" i="2"/>
  <c r="O106" i="2" l="1"/>
  <c r="V106" i="2"/>
  <c r="AJ129" i="2"/>
  <c r="P106" i="2"/>
  <c r="AO107" i="2"/>
  <c r="Y129" i="2"/>
  <c r="X129" i="2" l="1"/>
  <c r="Z129" i="2" s="1"/>
  <c r="H107" i="2"/>
  <c r="U106" i="2"/>
  <c r="E107" i="2"/>
  <c r="D108" i="2"/>
  <c r="W130" i="2" l="1"/>
  <c r="AI107" i="2"/>
  <c r="J107" i="2"/>
  <c r="AC129" i="2"/>
  <c r="AL107" i="2"/>
  <c r="M107" i="2" l="1"/>
  <c r="N107" i="2"/>
  <c r="I107" i="2"/>
  <c r="Y130" i="2"/>
  <c r="AM108" i="2"/>
  <c r="K107" i="2"/>
  <c r="AJ130" i="2"/>
  <c r="AR107" i="2"/>
  <c r="AQ107" i="2"/>
  <c r="X130" i="2" l="1"/>
  <c r="AB107" i="2"/>
  <c r="L107" i="2"/>
  <c r="AK107" i="2"/>
  <c r="AC130" i="2"/>
  <c r="AP108" i="2"/>
  <c r="AN108" i="2"/>
  <c r="O107" i="2" l="1"/>
  <c r="Z130" i="2"/>
  <c r="V107" i="2"/>
  <c r="AO108" i="2"/>
  <c r="P107" i="2"/>
  <c r="W131" i="2" l="1"/>
  <c r="H108" i="2"/>
  <c r="U107" i="2"/>
  <c r="E108" i="2"/>
  <c r="D109" i="2"/>
  <c r="AI108" i="2"/>
  <c r="J108" i="2"/>
  <c r="AJ131" i="2"/>
  <c r="Y131" i="2"/>
  <c r="AL108" i="2"/>
  <c r="X131" i="2" l="1"/>
  <c r="M108" i="2"/>
  <c r="N108" i="2"/>
  <c r="I108" i="2"/>
  <c r="AM109" i="2"/>
  <c r="K108" i="2"/>
  <c r="AC131" i="2"/>
  <c r="AR108" i="2"/>
  <c r="AQ108" i="2"/>
  <c r="Z131" i="2" l="1"/>
  <c r="L108" i="2"/>
  <c r="AK108" i="2"/>
  <c r="AB108" i="2"/>
  <c r="AP109" i="2"/>
  <c r="AN109" i="2"/>
  <c r="O108" i="2" l="1"/>
  <c r="W132" i="2"/>
  <c r="V108" i="2"/>
  <c r="P108" i="2"/>
  <c r="AO109" i="2"/>
  <c r="H109" i="2"/>
  <c r="AJ132" i="2"/>
  <c r="U108" i="2"/>
  <c r="Y132" i="2"/>
  <c r="E109" i="2"/>
  <c r="D110" i="2"/>
  <c r="X132" i="2" l="1"/>
  <c r="J109" i="2"/>
  <c r="AI109" i="2"/>
  <c r="AC132" i="2"/>
  <c r="AL109" i="2"/>
  <c r="M109" i="2" l="1"/>
  <c r="N109" i="2"/>
  <c r="I109" i="2"/>
  <c r="Z132" i="2"/>
  <c r="AM110" i="2"/>
  <c r="K109" i="2"/>
  <c r="AR109" i="2"/>
  <c r="AQ109" i="2"/>
  <c r="W133" i="2" l="1"/>
  <c r="L109" i="2"/>
  <c r="AK109" i="2"/>
  <c r="AB109" i="2"/>
  <c r="AP110" i="2"/>
  <c r="AN110" i="2"/>
  <c r="O109" i="2" l="1"/>
  <c r="V109" i="2"/>
  <c r="AO110" i="2"/>
  <c r="P109" i="2"/>
  <c r="Y133" i="2"/>
  <c r="AJ133" i="2"/>
  <c r="X133" i="2" l="1"/>
  <c r="H110" i="2"/>
  <c r="U109" i="2"/>
  <c r="AC133" i="2"/>
  <c r="E110" i="2"/>
  <c r="D111" i="2"/>
  <c r="Z133" i="2" l="1"/>
  <c r="J110" i="2"/>
  <c r="AI110" i="2"/>
  <c r="AL110" i="2"/>
  <c r="M110" i="2" l="1"/>
  <c r="N110" i="2"/>
  <c r="I110" i="2"/>
  <c r="W134" i="2"/>
  <c r="AM111" i="2"/>
  <c r="K110" i="2"/>
  <c r="AR110" i="2"/>
  <c r="AQ110" i="2"/>
  <c r="L110" i="2"/>
  <c r="AB110" i="2"/>
  <c r="AK110" i="2"/>
  <c r="Y134" i="2"/>
  <c r="AJ134" i="2"/>
  <c r="AP111" i="2"/>
  <c r="AN111" i="2"/>
  <c r="X134" i="2" l="1"/>
  <c r="O110" i="2"/>
  <c r="V110" i="2"/>
  <c r="AO111" i="2"/>
  <c r="P110" i="2"/>
  <c r="H111" i="2"/>
  <c r="AC134" i="2"/>
  <c r="E111" i="2"/>
  <c r="D112" i="2"/>
  <c r="Z134" i="2" l="1"/>
  <c r="J111" i="2"/>
  <c r="AI111" i="2"/>
  <c r="U110" i="2"/>
  <c r="AL111" i="2"/>
  <c r="M111" i="2" l="1"/>
  <c r="N111" i="2"/>
  <c r="I111" i="2"/>
  <c r="W135" i="2"/>
  <c r="AM112" i="2"/>
  <c r="K111" i="2"/>
  <c r="AR111" i="2"/>
  <c r="AQ111" i="2"/>
  <c r="L111" i="2"/>
  <c r="AJ135" i="2"/>
  <c r="AB111" i="2"/>
  <c r="AK111" i="2"/>
  <c r="Y135" i="2"/>
  <c r="AP112" i="2"/>
  <c r="AN112" i="2"/>
  <c r="X135" i="2" l="1"/>
  <c r="Z135" i="2" s="1"/>
  <c r="O111" i="2"/>
  <c r="AO112" i="2"/>
  <c r="H112" i="2" s="1"/>
  <c r="V111" i="2"/>
  <c r="P111" i="2"/>
  <c r="E112" i="2"/>
  <c r="D113" i="2"/>
  <c r="W136" i="2" l="1"/>
  <c r="U111" i="2"/>
  <c r="AI112" i="2"/>
  <c r="AC135" i="2"/>
  <c r="J112" i="2"/>
  <c r="AL112" i="2"/>
  <c r="M112" i="2" l="1"/>
  <c r="N112" i="2"/>
  <c r="I112" i="2"/>
  <c r="AM113" i="2"/>
  <c r="K112" i="2"/>
  <c r="AJ136" i="2"/>
  <c r="Y136" i="2"/>
  <c r="AR112" i="2"/>
  <c r="AQ112" i="2"/>
  <c r="X136" i="2" l="1"/>
  <c r="Z136" i="2" s="1"/>
  <c r="AK112" i="2"/>
  <c r="AB112" i="2"/>
  <c r="L112" i="2"/>
  <c r="AP113" i="2"/>
  <c r="AN113" i="2"/>
  <c r="O112" i="2" l="1"/>
  <c r="W137" i="2"/>
  <c r="V112" i="2"/>
  <c r="P112" i="2"/>
  <c r="AO113" i="2"/>
  <c r="AC136" i="2"/>
  <c r="H113" i="2"/>
  <c r="U112" i="2"/>
  <c r="AJ137" i="2"/>
  <c r="Y137" i="2"/>
  <c r="E113" i="2"/>
  <c r="D114" i="2"/>
  <c r="X137" i="2" l="1"/>
  <c r="J113" i="2"/>
  <c r="AI113" i="2"/>
  <c r="AC137" i="2"/>
  <c r="AL113" i="2"/>
  <c r="M113" i="2" l="1"/>
  <c r="N113" i="2"/>
  <c r="I113" i="2"/>
  <c r="Z137" i="2"/>
  <c r="AM114" i="2"/>
  <c r="K113" i="2"/>
  <c r="AR113" i="2"/>
  <c r="AQ113" i="2"/>
  <c r="W138" i="2" l="1"/>
  <c r="L113" i="2"/>
  <c r="AB113" i="2"/>
  <c r="AK113" i="2"/>
  <c r="AP114" i="2"/>
  <c r="AN114" i="2"/>
  <c r="O113" i="2" l="1"/>
  <c r="V113" i="2"/>
  <c r="AO114" i="2"/>
  <c r="P113" i="2"/>
  <c r="AJ138" i="2"/>
  <c r="H114" i="2"/>
  <c r="Y138" i="2"/>
  <c r="E114" i="2"/>
  <c r="D115" i="2"/>
  <c r="X138" i="2" l="1"/>
  <c r="Z138" i="2" s="1"/>
  <c r="AI114" i="2"/>
  <c r="J114" i="2"/>
  <c r="U113" i="2"/>
  <c r="AL114" i="2"/>
  <c r="M114" i="2" l="1"/>
  <c r="N114" i="2"/>
  <c r="I114" i="2"/>
  <c r="W139" i="2"/>
  <c r="AM115" i="2"/>
  <c r="K114" i="2"/>
  <c r="AC138" i="2"/>
  <c r="AR114" i="2"/>
  <c r="AQ114" i="2"/>
  <c r="L114" i="2"/>
  <c r="AB114" i="2"/>
  <c r="AK114" i="2"/>
  <c r="AJ139" i="2"/>
  <c r="Y139" i="2"/>
  <c r="AP115" i="2"/>
  <c r="AN115" i="2"/>
  <c r="X139" i="2" l="1"/>
  <c r="Z139" i="2" s="1"/>
  <c r="O114" i="2"/>
  <c r="P114" i="2"/>
  <c r="AO115" i="2"/>
  <c r="H115" i="2" s="1"/>
  <c r="V114" i="2"/>
  <c r="E115" i="2"/>
  <c r="D116" i="2"/>
  <c r="W140" i="2" l="1"/>
  <c r="AI115" i="2"/>
  <c r="U114" i="2"/>
  <c r="AC139" i="2"/>
  <c r="J115" i="2"/>
  <c r="AL115" i="2"/>
  <c r="M115" i="2" l="1"/>
  <c r="N115" i="2"/>
  <c r="I115" i="2"/>
  <c r="Y140" i="2"/>
  <c r="AM116" i="2"/>
  <c r="K115" i="2"/>
  <c r="AJ140" i="2"/>
  <c r="AR115" i="2"/>
  <c r="AQ115" i="2"/>
  <c r="X140" i="2" l="1"/>
  <c r="AK115" i="2"/>
  <c r="L115" i="2"/>
  <c r="AB115" i="2"/>
  <c r="AC140" i="2"/>
  <c r="AP116" i="2"/>
  <c r="AN116" i="2"/>
  <c r="O115" i="2" l="1"/>
  <c r="Z140" i="2"/>
  <c r="V115" i="2"/>
  <c r="P115" i="2"/>
  <c r="AO116" i="2"/>
  <c r="W141" i="2" l="1"/>
  <c r="H116" i="2"/>
  <c r="U115" i="2"/>
  <c r="E116" i="2"/>
  <c r="D117" i="2"/>
  <c r="Y141" i="2"/>
  <c r="J116" i="2"/>
  <c r="AI116" i="2"/>
  <c r="AJ141" i="2"/>
  <c r="AL116" i="2"/>
  <c r="M116" i="2" l="1"/>
  <c r="N116" i="2"/>
  <c r="I116" i="2"/>
  <c r="X141" i="2"/>
  <c r="AM117" i="2"/>
  <c r="K116" i="2"/>
  <c r="AC141" i="2"/>
  <c r="AR116" i="2"/>
  <c r="AQ116" i="2"/>
  <c r="Z141" i="2" l="1"/>
  <c r="L116" i="2"/>
  <c r="AB116" i="2"/>
  <c r="AK116" i="2"/>
  <c r="AP117" i="2"/>
  <c r="AN117" i="2"/>
  <c r="O116" i="2" l="1"/>
  <c r="W142" i="2"/>
  <c r="V116" i="2"/>
  <c r="AO117" i="2"/>
  <c r="P116" i="2"/>
  <c r="H117" i="2"/>
  <c r="Y142" i="2"/>
  <c r="U116" i="2"/>
  <c r="AJ142" i="2"/>
  <c r="E117" i="2"/>
  <c r="D118" i="2"/>
  <c r="X142" i="2" l="1"/>
  <c r="Z142" i="2" s="1"/>
  <c r="AI117" i="2"/>
  <c r="J117" i="2"/>
  <c r="AL117" i="2"/>
  <c r="M117" i="2" l="1"/>
  <c r="N117" i="2"/>
  <c r="I117" i="2"/>
  <c r="W143" i="2"/>
  <c r="AC142" i="2"/>
  <c r="AM118" i="2"/>
  <c r="K117" i="2"/>
  <c r="AR117" i="2"/>
  <c r="AQ117" i="2"/>
  <c r="L117" i="2"/>
  <c r="AK117" i="2"/>
  <c r="AB117" i="2"/>
  <c r="Y143" i="2"/>
  <c r="AJ143" i="2"/>
  <c r="AP118" i="2"/>
  <c r="AN118" i="2"/>
  <c r="X143" i="2" l="1"/>
  <c r="O117" i="2"/>
  <c r="AO118" i="2"/>
  <c r="V117" i="2"/>
  <c r="H118" i="2"/>
  <c r="P117" i="2"/>
  <c r="AC143" i="2"/>
  <c r="E118" i="2"/>
  <c r="D119" i="2"/>
  <c r="Z143" i="2" l="1"/>
  <c r="U117" i="2"/>
  <c r="AI118" i="2"/>
  <c r="J118" i="2"/>
  <c r="AL118" i="2"/>
  <c r="M118" i="2" l="1"/>
  <c r="N118" i="2"/>
  <c r="I118" i="2"/>
  <c r="W144" i="2"/>
  <c r="AM119" i="2"/>
  <c r="K118" i="2"/>
  <c r="AR118" i="2"/>
  <c r="AQ118" i="2"/>
  <c r="L118" i="2"/>
  <c r="AJ144" i="2"/>
  <c r="AB118" i="2"/>
  <c r="AK118" i="2"/>
  <c r="Y144" i="2"/>
  <c r="AP119" i="2"/>
  <c r="AN119" i="2"/>
  <c r="X144" i="2" l="1"/>
  <c r="Z144" i="2" s="1"/>
  <c r="O118" i="2"/>
  <c r="AO119" i="2"/>
  <c r="P118" i="2"/>
  <c r="V118" i="2"/>
  <c r="H119" i="2"/>
  <c r="E119" i="2"/>
  <c r="D120" i="2"/>
  <c r="W145" i="2" l="1"/>
  <c r="U118" i="2"/>
  <c r="AI119" i="2"/>
  <c r="J119" i="2"/>
  <c r="AC144" i="2"/>
  <c r="AL119" i="2"/>
  <c r="M119" i="2" l="1"/>
  <c r="N119" i="2"/>
  <c r="I119" i="2"/>
  <c r="Y145" i="2"/>
  <c r="AM120" i="2"/>
  <c r="K119" i="2"/>
  <c r="AJ145" i="2"/>
  <c r="AR119" i="2"/>
  <c r="AQ119" i="2"/>
  <c r="X145" i="2" l="1"/>
  <c r="AB119" i="2"/>
  <c r="L119" i="2"/>
  <c r="AK119" i="2"/>
  <c r="AC145" i="2"/>
  <c r="AP120" i="2"/>
  <c r="AN120" i="2"/>
  <c r="O119" i="2" l="1"/>
  <c r="Z145" i="2"/>
  <c r="V119" i="2"/>
  <c r="P119" i="2"/>
  <c r="AO120" i="2"/>
  <c r="H120" i="2" s="1"/>
  <c r="E120" i="2"/>
  <c r="D121" i="2"/>
  <c r="W146" i="2" l="1"/>
  <c r="J120" i="2"/>
  <c r="U119" i="2"/>
  <c r="AI120" i="2"/>
  <c r="AL120" i="2"/>
  <c r="M120" i="2" l="1"/>
  <c r="N120" i="2"/>
  <c r="I120" i="2"/>
  <c r="AM121" i="2"/>
  <c r="K120" i="2"/>
  <c r="Y146" i="2"/>
  <c r="AJ146" i="2"/>
  <c r="AR120" i="2"/>
  <c r="AQ120" i="2"/>
  <c r="X146" i="2" l="1"/>
  <c r="L120" i="2"/>
  <c r="AB120" i="2"/>
  <c r="AK120" i="2"/>
  <c r="AC146" i="2"/>
  <c r="AP121" i="2"/>
  <c r="AN121" i="2"/>
  <c r="O120" i="2" l="1"/>
  <c r="Z146" i="2"/>
  <c r="V120" i="2"/>
  <c r="P120" i="2"/>
  <c r="AO121" i="2"/>
  <c r="W147" i="2" l="1"/>
  <c r="H121" i="2"/>
  <c r="U120" i="2"/>
  <c r="E121" i="2"/>
  <c r="D122" i="2"/>
  <c r="AI121" i="2"/>
  <c r="J121" i="2"/>
  <c r="AJ147" i="2"/>
  <c r="Y147" i="2"/>
  <c r="AL121" i="2"/>
  <c r="X147" i="2" l="1"/>
  <c r="Z147" i="2" s="1"/>
  <c r="M121" i="2"/>
  <c r="N121" i="2"/>
  <c r="I121" i="2"/>
  <c r="AM122" i="2"/>
  <c r="K121" i="2"/>
  <c r="AR121" i="2"/>
  <c r="AQ121" i="2"/>
  <c r="W148" i="2" l="1"/>
  <c r="L121" i="2"/>
  <c r="AK121" i="2"/>
  <c r="AB121" i="2"/>
  <c r="AC147" i="2"/>
  <c r="AP122" i="2"/>
  <c r="AN122" i="2"/>
  <c r="O121" i="2" l="1"/>
  <c r="V121" i="2"/>
  <c r="Y148" i="2"/>
  <c r="P121" i="2"/>
  <c r="AO122" i="2"/>
  <c r="H122" i="2"/>
  <c r="AJ148" i="2"/>
  <c r="E122" i="2"/>
  <c r="D123" i="2"/>
  <c r="X148" i="2" l="1"/>
  <c r="J122" i="2"/>
  <c r="AI122" i="2"/>
  <c r="U121" i="2"/>
  <c r="AC148" i="2"/>
  <c r="AL122" i="2"/>
  <c r="M122" i="2" l="1"/>
  <c r="N122" i="2"/>
  <c r="I122" i="2"/>
  <c r="Z148" i="2"/>
  <c r="AM123" i="2"/>
  <c r="K122" i="2"/>
  <c r="AR122" i="2"/>
  <c r="AQ122" i="2"/>
  <c r="W149" i="2" l="1"/>
  <c r="L122" i="2"/>
  <c r="AK122" i="2"/>
  <c r="AB122" i="2"/>
  <c r="AP123" i="2"/>
  <c r="AN123" i="2"/>
  <c r="O122" i="2" l="1"/>
  <c r="V122" i="2"/>
  <c r="AO123" i="2"/>
  <c r="P122" i="2"/>
  <c r="Y149" i="2"/>
  <c r="AJ149" i="2"/>
  <c r="X149" i="2" l="1"/>
  <c r="H123" i="2"/>
  <c r="U122" i="2"/>
  <c r="AC149" i="2"/>
  <c r="E123" i="2"/>
  <c r="D124" i="2"/>
  <c r="Z149" i="2" l="1"/>
  <c r="AI123" i="2"/>
  <c r="J123" i="2"/>
  <c r="AL123" i="2"/>
  <c r="M123" i="2" l="1"/>
  <c r="N123" i="2"/>
  <c r="I123" i="2"/>
  <c r="W150" i="2"/>
  <c r="AM124" i="2"/>
  <c r="K123" i="2"/>
  <c r="AR123" i="2"/>
  <c r="AQ123" i="2"/>
  <c r="L123" i="2"/>
  <c r="AJ150" i="2"/>
  <c r="AK123" i="2"/>
  <c r="AB123" i="2"/>
  <c r="Y150" i="2"/>
  <c r="AP124" i="2"/>
  <c r="AN124" i="2"/>
  <c r="X150" i="2" l="1"/>
  <c r="Z150" i="2" s="1"/>
  <c r="O123" i="2"/>
  <c r="AO124" i="2"/>
  <c r="V123" i="2"/>
  <c r="P123" i="2"/>
  <c r="H124" i="2"/>
  <c r="E124" i="2"/>
  <c r="D125" i="2"/>
  <c r="W151" i="2" l="1"/>
  <c r="J124" i="2"/>
  <c r="AC150" i="2"/>
  <c r="AI124" i="2"/>
  <c r="U123" i="2"/>
  <c r="AL124" i="2"/>
  <c r="M124" i="2" l="1"/>
  <c r="N124" i="2"/>
  <c r="I124" i="2"/>
  <c r="AM125" i="2"/>
  <c r="K124" i="2"/>
  <c r="Y151" i="2"/>
  <c r="AJ151" i="2"/>
  <c r="AR124" i="2"/>
  <c r="AQ124" i="2"/>
  <c r="X151" i="2" l="1"/>
  <c r="L124" i="2"/>
  <c r="AB124" i="2"/>
  <c r="AK124" i="2"/>
  <c r="AC151" i="2"/>
  <c r="AP125" i="2"/>
  <c r="AN125" i="2"/>
  <c r="O124" i="2" l="1"/>
  <c r="Z151" i="2"/>
  <c r="V124" i="2"/>
  <c r="AO125" i="2"/>
  <c r="H125" i="2" s="1"/>
  <c r="P124" i="2"/>
  <c r="E125" i="2"/>
  <c r="D126" i="2"/>
  <c r="W152" i="2" l="1"/>
  <c r="J125" i="2"/>
  <c r="U124" i="2"/>
  <c r="AI125" i="2"/>
  <c r="AL125" i="2"/>
  <c r="M125" i="2" l="1"/>
  <c r="N125" i="2"/>
  <c r="I125" i="2"/>
  <c r="Y152" i="2"/>
  <c r="AM126" i="2"/>
  <c r="K125" i="2"/>
  <c r="AJ152" i="2"/>
  <c r="AR125" i="2"/>
  <c r="AQ125" i="2"/>
  <c r="X152" i="2" l="1"/>
  <c r="AK125" i="2"/>
  <c r="L125" i="2"/>
  <c r="AB125" i="2"/>
  <c r="AC152" i="2"/>
  <c r="AP126" i="2"/>
  <c r="AN126" i="2"/>
  <c r="O125" i="2" l="1"/>
  <c r="Z152" i="2"/>
  <c r="V125" i="2"/>
  <c r="AO126" i="2"/>
  <c r="P125" i="2"/>
  <c r="W153" i="2" l="1"/>
  <c r="H126" i="2"/>
  <c r="U125" i="2"/>
  <c r="E126" i="2"/>
  <c r="D127" i="2"/>
  <c r="J126" i="2"/>
  <c r="Y153" i="2"/>
  <c r="AI126" i="2"/>
  <c r="AJ153" i="2"/>
  <c r="AL126" i="2"/>
  <c r="X153" i="2" l="1"/>
  <c r="M126" i="2"/>
  <c r="N126" i="2"/>
  <c r="I126" i="2"/>
  <c r="AM127" i="2"/>
  <c r="K126" i="2"/>
  <c r="AC153" i="2"/>
  <c r="AR126" i="2"/>
  <c r="AQ126" i="2"/>
  <c r="Z153" i="2" l="1"/>
  <c r="L126" i="2"/>
  <c r="AK126" i="2"/>
  <c r="AB126" i="2"/>
  <c r="AP127" i="2"/>
  <c r="AN127" i="2"/>
  <c r="O126" i="2" l="1"/>
  <c r="W154" i="2"/>
  <c r="V126" i="2"/>
  <c r="AO127" i="2"/>
  <c r="P126" i="2"/>
  <c r="H127" i="2"/>
  <c r="AJ154" i="2"/>
  <c r="U126" i="2"/>
  <c r="Y154" i="2"/>
  <c r="E127" i="2"/>
  <c r="D128" i="2"/>
  <c r="X154" i="2" l="1"/>
  <c r="Z154" i="2" s="1"/>
  <c r="AI127" i="2"/>
  <c r="J127" i="2"/>
  <c r="AL127" i="2"/>
  <c r="M127" i="2" l="1"/>
  <c r="N127" i="2"/>
  <c r="I127" i="2"/>
  <c r="W155" i="2"/>
  <c r="AM128" i="2"/>
  <c r="K127" i="2"/>
  <c r="AC154" i="2"/>
  <c r="AR127" i="2"/>
  <c r="AQ127" i="2"/>
  <c r="L127" i="2"/>
  <c r="AJ155" i="2"/>
  <c r="AK127" i="2"/>
  <c r="AB127" i="2"/>
  <c r="Y155" i="2"/>
  <c r="AP128" i="2"/>
  <c r="AN128" i="2"/>
  <c r="X155" i="2" l="1"/>
  <c r="Z155" i="2" s="1"/>
  <c r="O127" i="2"/>
  <c r="P127" i="2"/>
  <c r="V127" i="2"/>
  <c r="AO128" i="2"/>
  <c r="H128" i="2"/>
  <c r="E128" i="2"/>
  <c r="D129" i="2"/>
  <c r="W156" i="2" l="1"/>
  <c r="U127" i="2"/>
  <c r="AI128" i="2"/>
  <c r="J128" i="2"/>
  <c r="AC155" i="2"/>
  <c r="AL128" i="2"/>
  <c r="M128" i="2" l="1"/>
  <c r="N128" i="2"/>
  <c r="I128" i="2"/>
  <c r="AJ156" i="2"/>
  <c r="AM129" i="2"/>
  <c r="K128" i="2"/>
  <c r="Y156" i="2"/>
  <c r="AR128" i="2"/>
  <c r="AQ128" i="2"/>
  <c r="X156" i="2" l="1"/>
  <c r="Z156" i="2" s="1"/>
  <c r="AB128" i="2"/>
  <c r="L128" i="2"/>
  <c r="AK128" i="2"/>
  <c r="AP129" i="2"/>
  <c r="AN129" i="2"/>
  <c r="O128" i="2" l="1"/>
  <c r="W157" i="2"/>
  <c r="V128" i="2"/>
  <c r="P128" i="2"/>
  <c r="AO129" i="2"/>
  <c r="H129" i="2"/>
  <c r="AC156" i="2"/>
  <c r="E129" i="2"/>
  <c r="D130" i="2"/>
  <c r="J129" i="2"/>
  <c r="AI129" i="2"/>
  <c r="U128" i="2"/>
  <c r="Y157" i="2"/>
  <c r="AJ157" i="2"/>
  <c r="AL129" i="2"/>
  <c r="X157" i="2" l="1"/>
  <c r="M129" i="2"/>
  <c r="N129" i="2"/>
  <c r="I129" i="2"/>
  <c r="AM130" i="2"/>
  <c r="K129" i="2"/>
  <c r="AC157" i="2"/>
  <c r="AR129" i="2"/>
  <c r="AQ129" i="2"/>
  <c r="Z157" i="2" l="1"/>
  <c r="L129" i="2"/>
  <c r="AB129" i="2"/>
  <c r="AK129" i="2"/>
  <c r="AP130" i="2"/>
  <c r="AN130" i="2"/>
  <c r="O129" i="2" l="1"/>
  <c r="W158" i="2"/>
  <c r="V129" i="2"/>
  <c r="P129" i="2"/>
  <c r="AO130" i="2"/>
  <c r="H130" i="2"/>
  <c r="U129" i="2"/>
  <c r="AJ158" i="2"/>
  <c r="Y158" i="2"/>
  <c r="E130" i="2"/>
  <c r="D131" i="2"/>
  <c r="X158" i="2" l="1"/>
  <c r="Z158" i="2" s="1"/>
  <c r="AI130" i="2"/>
  <c r="J130" i="2"/>
  <c r="AL130" i="2"/>
  <c r="M130" i="2" l="1"/>
  <c r="N130" i="2"/>
  <c r="I130" i="2"/>
  <c r="W159" i="2"/>
  <c r="AM131" i="2"/>
  <c r="K130" i="2"/>
  <c r="AC158" i="2"/>
  <c r="AR130" i="2"/>
  <c r="AQ130" i="2"/>
  <c r="L130" i="2"/>
  <c r="AK130" i="2"/>
  <c r="Y159" i="2"/>
  <c r="AB130" i="2"/>
  <c r="AJ159" i="2"/>
  <c r="AP131" i="2"/>
  <c r="AN131" i="2"/>
  <c r="X159" i="2" l="1"/>
  <c r="O130" i="2"/>
  <c r="P130" i="2"/>
  <c r="V130" i="2"/>
  <c r="AO131" i="2"/>
  <c r="H131" i="2"/>
  <c r="AC159" i="2"/>
  <c r="E131" i="2"/>
  <c r="D132" i="2"/>
  <c r="Z159" i="2" l="1"/>
  <c r="AI131" i="2"/>
  <c r="J131" i="2"/>
  <c r="U130" i="2"/>
  <c r="AL131" i="2"/>
  <c r="M131" i="2" l="1"/>
  <c r="N131" i="2"/>
  <c r="I131" i="2"/>
  <c r="W160" i="2"/>
  <c r="AM132" i="2"/>
  <c r="K131" i="2"/>
  <c r="AR131" i="2"/>
  <c r="AQ131" i="2"/>
  <c r="L131" i="2"/>
  <c r="Y160" i="2"/>
  <c r="AK131" i="2"/>
  <c r="AJ160" i="2"/>
  <c r="AB131" i="2"/>
  <c r="AP132" i="2"/>
  <c r="AN132" i="2"/>
  <c r="X160" i="2" l="1"/>
  <c r="O131" i="2"/>
  <c r="V131" i="2"/>
  <c r="P131" i="2"/>
  <c r="AO132" i="2"/>
  <c r="H132" i="2"/>
  <c r="AC160" i="2"/>
  <c r="E132" i="2"/>
  <c r="D133" i="2"/>
  <c r="Z160" i="2" l="1"/>
  <c r="J132" i="2"/>
  <c r="U131" i="2"/>
  <c r="AI132" i="2"/>
  <c r="AL132" i="2"/>
  <c r="M132" i="2" l="1"/>
  <c r="N132" i="2"/>
  <c r="I132" i="2"/>
  <c r="W161" i="2"/>
  <c r="AM133" i="2"/>
  <c r="K132" i="2"/>
  <c r="AR132" i="2"/>
  <c r="AQ132" i="2"/>
  <c r="L132" i="2"/>
  <c r="AK132" i="2"/>
  <c r="AB132" i="2"/>
  <c r="Y161" i="2"/>
  <c r="AJ161" i="2"/>
  <c r="AP133" i="2"/>
  <c r="AN133" i="2"/>
  <c r="X161" i="2" l="1"/>
  <c r="O132" i="2"/>
  <c r="V132" i="2"/>
  <c r="AO133" i="2"/>
  <c r="P132" i="2"/>
  <c r="AC161" i="2"/>
  <c r="Z161" i="2" l="1"/>
  <c r="H133" i="2"/>
  <c r="U132" i="2"/>
  <c r="E133" i="2"/>
  <c r="D134" i="2"/>
  <c r="W162" i="2" l="1"/>
  <c r="AI133" i="2"/>
  <c r="J133" i="2"/>
  <c r="AL133" i="2"/>
  <c r="M133" i="2" l="1"/>
  <c r="N133" i="2"/>
  <c r="I133" i="2"/>
  <c r="Y162" i="2"/>
  <c r="AM134" i="2"/>
  <c r="K133" i="2"/>
  <c r="AJ162" i="2"/>
  <c r="AR133" i="2"/>
  <c r="AQ133" i="2"/>
  <c r="X162" i="2" l="1"/>
  <c r="AK133" i="2"/>
  <c r="L133" i="2"/>
  <c r="AB133" i="2"/>
  <c r="AC162" i="2"/>
  <c r="AP134" i="2"/>
  <c r="AN134" i="2"/>
  <c r="O133" i="2" l="1"/>
  <c r="Z162" i="2"/>
  <c r="V133" i="2"/>
  <c r="P133" i="2"/>
  <c r="AO134" i="2"/>
  <c r="H134" i="2"/>
  <c r="E134" i="2"/>
  <c r="D135" i="2"/>
  <c r="W163" i="2" l="1"/>
  <c r="U133" i="2"/>
  <c r="AI134" i="2"/>
  <c r="J134" i="2"/>
  <c r="AL134" i="2"/>
  <c r="M134" i="2" l="1"/>
  <c r="N134" i="2"/>
  <c r="I134" i="2"/>
  <c r="AJ163" i="2"/>
  <c r="AM135" i="2"/>
  <c r="K134" i="2"/>
  <c r="Y163" i="2"/>
  <c r="AR134" i="2"/>
  <c r="AQ134" i="2"/>
  <c r="X163" i="2" l="1"/>
  <c r="Z163" i="2" s="1"/>
  <c r="AK134" i="2"/>
  <c r="L134" i="2"/>
  <c r="AC163" i="2"/>
  <c r="AB134" i="2"/>
  <c r="AP135" i="2"/>
  <c r="AN135" i="2"/>
  <c r="O134" i="2" l="1"/>
  <c r="W164" i="2"/>
  <c r="V134" i="2"/>
  <c r="P134" i="2"/>
  <c r="AO135" i="2"/>
  <c r="H135" i="2"/>
  <c r="E135" i="2"/>
  <c r="D136" i="2"/>
  <c r="AJ164" i="2"/>
  <c r="AI135" i="2"/>
  <c r="J135" i="2"/>
  <c r="U134" i="2"/>
  <c r="Y164" i="2"/>
  <c r="AL135" i="2"/>
  <c r="X164" i="2" l="1"/>
  <c r="Z164" i="2" s="1"/>
  <c r="M135" i="2"/>
  <c r="N135" i="2"/>
  <c r="I135" i="2"/>
  <c r="AC164" i="2"/>
  <c r="AM136" i="2"/>
  <c r="K135" i="2"/>
  <c r="AR135" i="2"/>
  <c r="AQ135" i="2"/>
  <c r="W165" i="2" l="1"/>
  <c r="L135" i="2"/>
  <c r="AB135" i="2"/>
  <c r="AK135" i="2"/>
  <c r="AP136" i="2"/>
  <c r="AN136" i="2"/>
  <c r="O135" i="2" l="1"/>
  <c r="V135" i="2"/>
  <c r="P135" i="2"/>
  <c r="AO136" i="2"/>
  <c r="H136" i="2"/>
  <c r="AJ165" i="2"/>
  <c r="Y165" i="2"/>
  <c r="E136" i="2"/>
  <c r="D137" i="2"/>
  <c r="X165" i="2" l="1"/>
  <c r="Z165" i="2" s="1"/>
  <c r="J136" i="2"/>
  <c r="AI136" i="2"/>
  <c r="U135" i="2"/>
  <c r="AL136" i="2"/>
  <c r="M136" i="2" l="1"/>
  <c r="N136" i="2"/>
  <c r="I136" i="2"/>
  <c r="W166" i="2"/>
  <c r="AM137" i="2"/>
  <c r="K136" i="2"/>
  <c r="AC165" i="2"/>
  <c r="AR136" i="2"/>
  <c r="AQ136" i="2"/>
  <c r="L136" i="2"/>
  <c r="AK136" i="2"/>
  <c r="AB136" i="2"/>
  <c r="Y166" i="2"/>
  <c r="AJ166" i="2"/>
  <c r="AP137" i="2"/>
  <c r="AN137" i="2"/>
  <c r="X166" i="2" l="1"/>
  <c r="O136" i="2"/>
  <c r="V136" i="2"/>
  <c r="P136" i="2"/>
  <c r="AO137" i="2"/>
  <c r="H137" i="2" s="1"/>
  <c r="AC166" i="2"/>
  <c r="E137" i="2"/>
  <c r="D138" i="2"/>
  <c r="Z166" i="2" l="1"/>
  <c r="AI137" i="2"/>
  <c r="J137" i="2"/>
  <c r="U136" i="2"/>
  <c r="AL137" i="2"/>
  <c r="M137" i="2" l="1"/>
  <c r="N137" i="2"/>
  <c r="I137" i="2"/>
  <c r="W167" i="2"/>
  <c r="AM138" i="2"/>
  <c r="K137" i="2"/>
  <c r="AR137" i="2"/>
  <c r="AQ137" i="2"/>
  <c r="L137" i="2"/>
  <c r="AJ167" i="2"/>
  <c r="AK137" i="2"/>
  <c r="AB137" i="2"/>
  <c r="Y167" i="2"/>
  <c r="AP138" i="2"/>
  <c r="AN138" i="2"/>
  <c r="X167" i="2" l="1"/>
  <c r="Z167" i="2" s="1"/>
  <c r="O137" i="2"/>
  <c r="V137" i="2"/>
  <c r="AO138" i="2"/>
  <c r="H138" i="2" s="1"/>
  <c r="P137" i="2"/>
  <c r="E138" i="2"/>
  <c r="D139" i="2"/>
  <c r="W168" i="2" l="1"/>
  <c r="U137" i="2"/>
  <c r="J138" i="2"/>
  <c r="AI138" i="2"/>
  <c r="AC167" i="2"/>
  <c r="AL138" i="2"/>
  <c r="M138" i="2" l="1"/>
  <c r="N138" i="2"/>
  <c r="I138" i="2"/>
  <c r="Y168" i="2"/>
  <c r="AM139" i="2"/>
  <c r="K138" i="2"/>
  <c r="AJ168" i="2"/>
  <c r="AR138" i="2"/>
  <c r="AQ138" i="2"/>
  <c r="X168" i="2" l="1"/>
  <c r="L138" i="2"/>
  <c r="AK138" i="2"/>
  <c r="AB138" i="2"/>
  <c r="AC168" i="2"/>
  <c r="AP139" i="2"/>
  <c r="AN139" i="2"/>
  <c r="O138" i="2" l="1"/>
  <c r="Z168" i="2"/>
  <c r="V138" i="2"/>
  <c r="AO139" i="2"/>
  <c r="H139" i="2" s="1"/>
  <c r="P138" i="2"/>
  <c r="E139" i="2"/>
  <c r="D140" i="2"/>
  <c r="W169" i="2" l="1"/>
  <c r="AI139" i="2"/>
  <c r="J139" i="2"/>
  <c r="U138" i="2"/>
  <c r="AL139" i="2"/>
  <c r="M139" i="2" l="1"/>
  <c r="N139" i="2"/>
  <c r="I139" i="2"/>
  <c r="Y169" i="2"/>
  <c r="AM140" i="2"/>
  <c r="K139" i="2"/>
  <c r="AJ169" i="2"/>
  <c r="AR139" i="2"/>
  <c r="AQ139" i="2"/>
  <c r="X169" i="2" l="1"/>
  <c r="AK139" i="2"/>
  <c r="L139" i="2"/>
  <c r="AB139" i="2"/>
  <c r="AC169" i="2"/>
  <c r="AP140" i="2"/>
  <c r="AN140" i="2"/>
  <c r="O139" i="2" l="1"/>
  <c r="Z169" i="2"/>
  <c r="V139" i="2"/>
  <c r="P139" i="2"/>
  <c r="AO140" i="2"/>
  <c r="W170" i="2" l="1"/>
  <c r="H140" i="2"/>
  <c r="U139" i="2"/>
  <c r="E140" i="2"/>
  <c r="D141" i="2"/>
  <c r="Y170" i="2"/>
  <c r="J140" i="2"/>
  <c r="AI140" i="2"/>
  <c r="AJ170" i="2"/>
  <c r="AL140" i="2"/>
  <c r="M140" i="2" l="1"/>
  <c r="N140" i="2"/>
  <c r="I140" i="2"/>
  <c r="X170" i="2"/>
  <c r="AM141" i="2"/>
  <c r="K140" i="2"/>
  <c r="AC170" i="2"/>
  <c r="AR140" i="2"/>
  <c r="AQ140" i="2"/>
  <c r="Z170" i="2" l="1"/>
  <c r="L140" i="2"/>
  <c r="AB140" i="2"/>
  <c r="AK140" i="2"/>
  <c r="AP141" i="2"/>
  <c r="AN141" i="2"/>
  <c r="O140" i="2" l="1"/>
  <c r="W171" i="2"/>
  <c r="V140" i="2"/>
  <c r="P140" i="2"/>
  <c r="AO141" i="2"/>
  <c r="H141" i="2" s="1"/>
  <c r="E141" i="2"/>
  <c r="D142" i="2"/>
  <c r="J141" i="2"/>
  <c r="U140" i="2"/>
  <c r="AJ171" i="2"/>
  <c r="AI141" i="2"/>
  <c r="Y171" i="2"/>
  <c r="AL141" i="2"/>
  <c r="X171" i="2" l="1"/>
  <c r="Z171" i="2" s="1"/>
  <c r="M141" i="2"/>
  <c r="N141" i="2"/>
  <c r="I141" i="2"/>
  <c r="AM142" i="2"/>
  <c r="K141" i="2"/>
  <c r="AR141" i="2"/>
  <c r="AQ141" i="2"/>
  <c r="W172" i="2" l="1"/>
  <c r="L141" i="2"/>
  <c r="AC171" i="2"/>
  <c r="AK141" i="2"/>
  <c r="AB141" i="2"/>
  <c r="AP142" i="2"/>
  <c r="AN142" i="2"/>
  <c r="O141" i="2" l="1"/>
  <c r="V141" i="2"/>
  <c r="AO142" i="2"/>
  <c r="P141" i="2"/>
  <c r="Y172" i="2"/>
  <c r="H142" i="2"/>
  <c r="AJ172" i="2"/>
  <c r="E142" i="2"/>
  <c r="D143" i="2"/>
  <c r="X172" i="2" l="1"/>
  <c r="Z172" i="2" s="1"/>
  <c r="U141" i="2"/>
  <c r="J142" i="2"/>
  <c r="AI142" i="2"/>
  <c r="AL142" i="2"/>
  <c r="M142" i="2" l="1"/>
  <c r="N142" i="2"/>
  <c r="I142" i="2"/>
  <c r="W173" i="2"/>
  <c r="AC172" i="2"/>
  <c r="AM143" i="2"/>
  <c r="K142" i="2"/>
  <c r="AR142" i="2"/>
  <c r="AQ142" i="2"/>
  <c r="L142" i="2"/>
  <c r="AB142" i="2"/>
  <c r="AJ173" i="2"/>
  <c r="AK142" i="2"/>
  <c r="Y173" i="2"/>
  <c r="AP143" i="2"/>
  <c r="AN143" i="2"/>
  <c r="X173" i="2" l="1"/>
  <c r="Z173" i="2" s="1"/>
  <c r="O142" i="2"/>
  <c r="P142" i="2"/>
  <c r="V142" i="2"/>
  <c r="AO143" i="2"/>
  <c r="H143" i="2" s="1"/>
  <c r="E143" i="2"/>
  <c r="D144" i="2"/>
  <c r="W174" i="2" l="1"/>
  <c r="AI143" i="2"/>
  <c r="J143" i="2"/>
  <c r="U142" i="2"/>
  <c r="AC173" i="2"/>
  <c r="AL143" i="2"/>
  <c r="M143" i="2" l="1"/>
  <c r="N143" i="2"/>
  <c r="I143" i="2"/>
  <c r="AM144" i="2"/>
  <c r="K143" i="2"/>
  <c r="AJ174" i="2"/>
  <c r="Y174" i="2"/>
  <c r="AR143" i="2"/>
  <c r="AQ143" i="2"/>
  <c r="X174" i="2" l="1"/>
  <c r="Z174" i="2" s="1"/>
  <c r="L143" i="2"/>
  <c r="AB143" i="2"/>
  <c r="AK143" i="2"/>
  <c r="AP144" i="2"/>
  <c r="AN144" i="2"/>
  <c r="O143" i="2" l="1"/>
  <c r="W175" i="2"/>
  <c r="V143" i="2"/>
  <c r="P143" i="2"/>
  <c r="AO144" i="2"/>
  <c r="H144" i="2"/>
  <c r="AC174" i="2"/>
  <c r="E144" i="2"/>
  <c r="D145" i="2"/>
  <c r="J144" i="2"/>
  <c r="AI144" i="2"/>
  <c r="U143" i="2"/>
  <c r="Y175" i="2"/>
  <c r="AJ175" i="2"/>
  <c r="AL144" i="2"/>
  <c r="X175" i="2" l="1"/>
  <c r="M144" i="2"/>
  <c r="N144" i="2"/>
  <c r="I144" i="2"/>
  <c r="AM145" i="2"/>
  <c r="K144" i="2"/>
  <c r="AC175" i="2"/>
  <c r="AR144" i="2"/>
  <c r="AQ144" i="2"/>
  <c r="Z175" i="2" l="1"/>
  <c r="L144" i="2"/>
  <c r="AK144" i="2"/>
  <c r="AB144" i="2"/>
  <c r="AP145" i="2"/>
  <c r="AN145" i="2"/>
  <c r="O144" i="2" l="1"/>
  <c r="W176" i="2"/>
  <c r="V144" i="2"/>
  <c r="P144" i="2"/>
  <c r="AO145" i="2"/>
  <c r="H145" i="2" s="1"/>
  <c r="E145" i="2"/>
  <c r="D146" i="2"/>
  <c r="U144" i="2"/>
  <c r="J145" i="2"/>
  <c r="AI145" i="2"/>
  <c r="Y176" i="2"/>
  <c r="AJ176" i="2"/>
  <c r="AL145" i="2"/>
  <c r="X176" i="2" l="1"/>
  <c r="M145" i="2"/>
  <c r="N145" i="2"/>
  <c r="I145" i="2"/>
  <c r="AM146" i="2"/>
  <c r="K145" i="2"/>
  <c r="AC176" i="2"/>
  <c r="AR145" i="2"/>
  <c r="AQ145" i="2"/>
  <c r="Z176" i="2" l="1"/>
  <c r="L145" i="2"/>
  <c r="AK145" i="2"/>
  <c r="AB145" i="2"/>
  <c r="AP146" i="2"/>
  <c r="AN146" i="2"/>
  <c r="O145" i="2" l="1"/>
  <c r="W177" i="2"/>
  <c r="V145" i="2"/>
  <c r="AO146" i="2"/>
  <c r="P145" i="2"/>
  <c r="H146" i="2"/>
  <c r="Y177" i="2"/>
  <c r="U145" i="2"/>
  <c r="AJ177" i="2"/>
  <c r="E146" i="2"/>
  <c r="D147" i="2"/>
  <c r="X177" i="2" l="1"/>
  <c r="AI146" i="2"/>
  <c r="J146" i="2"/>
  <c r="AC177" i="2"/>
  <c r="AL146" i="2"/>
  <c r="M146" i="2" l="1"/>
  <c r="N146" i="2"/>
  <c r="I146" i="2"/>
  <c r="Z177" i="2"/>
  <c r="AM147" i="2"/>
  <c r="K146" i="2"/>
  <c r="AR146" i="2"/>
  <c r="AQ146" i="2"/>
  <c r="W178" i="2" l="1"/>
  <c r="L146" i="2"/>
  <c r="AK146" i="2"/>
  <c r="AB146" i="2"/>
  <c r="AP147" i="2"/>
  <c r="AN147" i="2"/>
  <c r="O146" i="2" l="1"/>
  <c r="V146" i="2"/>
  <c r="AO147" i="2"/>
  <c r="P146" i="2"/>
  <c r="H147" i="2"/>
  <c r="AJ178" i="2"/>
  <c r="Y178" i="2"/>
  <c r="E147" i="2"/>
  <c r="D148" i="2"/>
  <c r="X178" i="2" l="1"/>
  <c r="Z178" i="2" s="1"/>
  <c r="U146" i="2"/>
  <c r="AI147" i="2"/>
  <c r="J147" i="2"/>
  <c r="AL147" i="2"/>
  <c r="M147" i="2" l="1"/>
  <c r="N147" i="2"/>
  <c r="I147" i="2"/>
  <c r="W179" i="2"/>
  <c r="AM148" i="2"/>
  <c r="K147" i="2"/>
  <c r="AC178" i="2"/>
  <c r="AR147" i="2"/>
  <c r="AQ147" i="2"/>
  <c r="L147" i="2"/>
  <c r="AJ179" i="2"/>
  <c r="AB147" i="2"/>
  <c r="AK147" i="2"/>
  <c r="Y179" i="2"/>
  <c r="AP148" i="2"/>
  <c r="AN148" i="2"/>
  <c r="X179" i="2" l="1"/>
  <c r="Z179" i="2" s="1"/>
  <c r="O147" i="2"/>
  <c r="V147" i="2"/>
  <c r="P147" i="2"/>
  <c r="AO148" i="2"/>
  <c r="H148" i="2" s="1"/>
  <c r="E148" i="2"/>
  <c r="D149" i="2"/>
  <c r="W180" i="2" l="1"/>
  <c r="U147" i="2"/>
  <c r="J148" i="2"/>
  <c r="AI148" i="2"/>
  <c r="AC179" i="2"/>
  <c r="AL148" i="2"/>
  <c r="M148" i="2" l="1"/>
  <c r="N148" i="2"/>
  <c r="I148" i="2"/>
  <c r="Y180" i="2"/>
  <c r="AJ180" i="2"/>
  <c r="AM149" i="2"/>
  <c r="K148" i="2"/>
  <c r="AR148" i="2"/>
  <c r="AQ148" i="2"/>
  <c r="X180" i="2" l="1"/>
  <c r="Z180" i="2" s="1"/>
  <c r="L148" i="2"/>
  <c r="AK148" i="2"/>
  <c r="AB148" i="2"/>
  <c r="AP149" i="2"/>
  <c r="AN149" i="2"/>
  <c r="O148" i="2" l="1"/>
  <c r="W181" i="2"/>
  <c r="V148" i="2"/>
  <c r="P148" i="2"/>
  <c r="AO149" i="2"/>
  <c r="H149" i="2" s="1"/>
  <c r="AC180" i="2"/>
  <c r="E149" i="2"/>
  <c r="D150" i="2"/>
  <c r="Y181" i="2"/>
  <c r="AI149" i="2"/>
  <c r="U148" i="2"/>
  <c r="J149" i="2"/>
  <c r="AJ181" i="2"/>
  <c r="AL149" i="2"/>
  <c r="M149" i="2" l="1"/>
  <c r="N149" i="2"/>
  <c r="I149" i="2"/>
  <c r="X181" i="2"/>
  <c r="AM150" i="2"/>
  <c r="K149" i="2"/>
  <c r="AC181" i="2"/>
  <c r="AR149" i="2"/>
  <c r="AQ149" i="2"/>
  <c r="Z181" i="2" l="1"/>
  <c r="L149" i="2"/>
  <c r="AK149" i="2"/>
  <c r="AB149" i="2"/>
  <c r="AP150" i="2"/>
  <c r="AN150" i="2"/>
  <c r="O149" i="2" l="1"/>
  <c r="W182" i="2"/>
  <c r="V149" i="2"/>
  <c r="P149" i="2"/>
  <c r="AO150" i="2"/>
  <c r="H150" i="2"/>
  <c r="Y182" i="2"/>
  <c r="U149" i="2"/>
  <c r="AJ182" i="2"/>
  <c r="E150" i="2"/>
  <c r="D151" i="2"/>
  <c r="X182" i="2" l="1"/>
  <c r="J150" i="2"/>
  <c r="AI150" i="2"/>
  <c r="AC182" i="2"/>
  <c r="AL150" i="2"/>
  <c r="M150" i="2" l="1"/>
  <c r="N150" i="2"/>
  <c r="I150" i="2"/>
  <c r="Z182" i="2"/>
  <c r="AM151" i="2"/>
  <c r="K150" i="2"/>
  <c r="AR150" i="2"/>
  <c r="AQ150" i="2"/>
  <c r="W183" i="2" l="1"/>
  <c r="L150" i="2"/>
  <c r="AK150" i="2"/>
  <c r="AB150" i="2"/>
  <c r="AP151" i="2"/>
  <c r="AN151" i="2"/>
  <c r="O150" i="2" l="1"/>
  <c r="V150" i="2"/>
  <c r="AO151" i="2"/>
  <c r="P150" i="2"/>
  <c r="H151" i="2"/>
  <c r="Y183" i="2"/>
  <c r="AJ183" i="2"/>
  <c r="E151" i="2"/>
  <c r="D152" i="2"/>
  <c r="X183" i="2" l="1"/>
  <c r="AI151" i="2"/>
  <c r="J151" i="2"/>
  <c r="U150" i="2"/>
  <c r="AC183" i="2"/>
  <c r="AL151" i="2"/>
  <c r="M151" i="2" l="1"/>
  <c r="N151" i="2"/>
  <c r="I151" i="2"/>
  <c r="Z183" i="2"/>
  <c r="AM152" i="2"/>
  <c r="K151" i="2"/>
  <c r="AR151" i="2"/>
  <c r="AQ151" i="2"/>
  <c r="W184" i="2" l="1"/>
  <c r="L151" i="2"/>
  <c r="AB151" i="2"/>
  <c r="AK151" i="2"/>
  <c r="AP152" i="2"/>
  <c r="AN152" i="2"/>
  <c r="O151" i="2" l="1"/>
  <c r="V151" i="2"/>
  <c r="P151" i="2"/>
  <c r="AJ184" i="2"/>
  <c r="AO152" i="2"/>
  <c r="H152" i="2" s="1"/>
  <c r="Y184" i="2"/>
  <c r="E152" i="2"/>
  <c r="D153" i="2"/>
  <c r="X184" i="2" l="1"/>
  <c r="Z184" i="2" s="1"/>
  <c r="J152" i="2"/>
  <c r="U151" i="2"/>
  <c r="AI152" i="2"/>
  <c r="AC184" i="2"/>
  <c r="AL152" i="2"/>
  <c r="M152" i="2" l="1"/>
  <c r="N152" i="2"/>
  <c r="I152" i="2"/>
  <c r="W185" i="2"/>
  <c r="AM153" i="2"/>
  <c r="K152" i="2"/>
  <c r="AR152" i="2"/>
  <c r="AQ152" i="2"/>
  <c r="L152" i="2"/>
  <c r="AK152" i="2"/>
  <c r="AJ185" i="2"/>
  <c r="AB152" i="2"/>
  <c r="Y185" i="2"/>
  <c r="AP153" i="2"/>
  <c r="AN153" i="2"/>
  <c r="X185" i="2" l="1"/>
  <c r="Z185" i="2" s="1"/>
  <c r="O152" i="2"/>
  <c r="AO153" i="2"/>
  <c r="H153" i="2" s="1"/>
  <c r="V152" i="2"/>
  <c r="P152" i="2"/>
  <c r="E153" i="2"/>
  <c r="D154" i="2"/>
  <c r="W186" i="2" l="1"/>
  <c r="J153" i="2"/>
  <c r="U152" i="2"/>
  <c r="AI153" i="2"/>
  <c r="AC185" i="2"/>
  <c r="AL153" i="2"/>
  <c r="M153" i="2" l="1"/>
  <c r="N153" i="2"/>
  <c r="I153" i="2"/>
  <c r="AJ186" i="2"/>
  <c r="AM154" i="2"/>
  <c r="K153" i="2"/>
  <c r="Y186" i="2"/>
  <c r="AR153" i="2"/>
  <c r="AQ153" i="2"/>
  <c r="X186" i="2" l="1"/>
  <c r="Z186" i="2" s="1"/>
  <c r="AB153" i="2"/>
  <c r="L153" i="2"/>
  <c r="AK153" i="2"/>
  <c r="AC186" i="2"/>
  <c r="AP154" i="2"/>
  <c r="AN154" i="2"/>
  <c r="O153" i="2" l="1"/>
  <c r="W187" i="2"/>
  <c r="V153" i="2"/>
  <c r="AO154" i="2"/>
  <c r="P153" i="2"/>
  <c r="H154" i="2"/>
  <c r="E154" i="2"/>
  <c r="D155" i="2"/>
  <c r="Y187" i="2"/>
  <c r="AI154" i="2"/>
  <c r="J154" i="2"/>
  <c r="AJ187" i="2"/>
  <c r="U153" i="2"/>
  <c r="AL154" i="2"/>
  <c r="M154" i="2" l="1"/>
  <c r="N154" i="2"/>
  <c r="I154" i="2"/>
  <c r="X187" i="2"/>
  <c r="AM155" i="2"/>
  <c r="K154" i="2"/>
  <c r="AC187" i="2"/>
  <c r="AR154" i="2"/>
  <c r="AQ154" i="2"/>
  <c r="Z187" i="2" l="1"/>
  <c r="L154" i="2"/>
  <c r="AB154" i="2"/>
  <c r="AK154" i="2"/>
  <c r="AP155" i="2"/>
  <c r="AN155" i="2"/>
  <c r="O154" i="2" l="1"/>
  <c r="W188" i="2"/>
  <c r="V154" i="2"/>
  <c r="P154" i="2"/>
  <c r="AO155" i="2"/>
  <c r="H155" i="2" s="1"/>
  <c r="E155" i="2"/>
  <c r="D156" i="2"/>
  <c r="U154" i="2"/>
  <c r="J155" i="2"/>
  <c r="AI155" i="2"/>
  <c r="AJ188" i="2"/>
  <c r="Y188" i="2"/>
  <c r="AL155" i="2"/>
  <c r="X188" i="2" l="1"/>
  <c r="Z188" i="2" s="1"/>
  <c r="M155" i="2"/>
  <c r="N155" i="2"/>
  <c r="I155" i="2"/>
  <c r="AM156" i="2"/>
  <c r="K155" i="2"/>
  <c r="AR155" i="2"/>
  <c r="AQ155" i="2"/>
  <c r="W189" i="2" l="1"/>
  <c r="L155" i="2"/>
  <c r="AK155" i="2"/>
  <c r="AB155" i="2"/>
  <c r="AC188" i="2"/>
  <c r="AP156" i="2"/>
  <c r="AN156" i="2"/>
  <c r="O155" i="2" l="1"/>
  <c r="V155" i="2"/>
  <c r="P155" i="2"/>
  <c r="Y189" i="2"/>
  <c r="AO156" i="2"/>
  <c r="AJ189" i="2"/>
  <c r="H156" i="2"/>
  <c r="E156" i="2"/>
  <c r="D157" i="2"/>
  <c r="X189" i="2" l="1"/>
  <c r="J156" i="2"/>
  <c r="AI156" i="2"/>
  <c r="U155" i="2"/>
  <c r="AC189" i="2"/>
  <c r="AL156" i="2"/>
  <c r="M156" i="2" l="1"/>
  <c r="N156" i="2"/>
  <c r="I156" i="2"/>
  <c r="Z189" i="2"/>
  <c r="AM157" i="2"/>
  <c r="K156" i="2"/>
  <c r="AR156" i="2"/>
  <c r="AQ156" i="2"/>
  <c r="W190" i="2" l="1"/>
  <c r="L156" i="2"/>
  <c r="AK156" i="2"/>
  <c r="AB156" i="2"/>
  <c r="AP157" i="2"/>
  <c r="AN157" i="2"/>
  <c r="O156" i="2" l="1"/>
  <c r="V156" i="2"/>
  <c r="P156" i="2"/>
  <c r="Y190" i="2"/>
  <c r="AO157" i="2"/>
  <c r="AJ190" i="2"/>
  <c r="X190" i="2" l="1"/>
  <c r="H157" i="2"/>
  <c r="U156" i="2"/>
  <c r="AC190" i="2"/>
  <c r="E157" i="2"/>
  <c r="D158" i="2"/>
  <c r="Z190" i="2" l="1"/>
  <c r="AI157" i="2"/>
  <c r="J157" i="2"/>
  <c r="AL157" i="2"/>
  <c r="M157" i="2" l="1"/>
  <c r="N157" i="2"/>
  <c r="I157" i="2"/>
  <c r="W191" i="2"/>
  <c r="AM158" i="2"/>
  <c r="K157" i="2"/>
  <c r="AR157" i="2"/>
  <c r="AQ157" i="2"/>
  <c r="L157" i="2"/>
  <c r="AB157" i="2"/>
  <c r="Y191" i="2"/>
  <c r="AK157" i="2"/>
  <c r="AJ191" i="2"/>
  <c r="AP158" i="2"/>
  <c r="AN158" i="2"/>
  <c r="X191" i="2" l="1"/>
  <c r="O157" i="2"/>
  <c r="V157" i="2"/>
  <c r="AO158" i="2"/>
  <c r="H158" i="2" s="1"/>
  <c r="P157" i="2"/>
  <c r="AC191" i="2"/>
  <c r="E158" i="2"/>
  <c r="D159" i="2"/>
  <c r="Z191" i="2" l="1"/>
  <c r="AI158" i="2"/>
  <c r="U157" i="2"/>
  <c r="J158" i="2"/>
  <c r="AL158" i="2"/>
  <c r="M158" i="2" l="1"/>
  <c r="N158" i="2"/>
  <c r="I158" i="2"/>
  <c r="W192" i="2"/>
  <c r="AM159" i="2"/>
  <c r="K158" i="2"/>
  <c r="AR158" i="2"/>
  <c r="AQ158" i="2"/>
  <c r="L158" i="2"/>
  <c r="Y192" i="2"/>
  <c r="AK158" i="2"/>
  <c r="AJ192" i="2"/>
  <c r="AB158" i="2"/>
  <c r="AP159" i="2"/>
  <c r="AN159" i="2"/>
  <c r="X192" i="2" l="1"/>
  <c r="O158" i="2"/>
  <c r="AO159" i="2"/>
  <c r="V158" i="2"/>
  <c r="H159" i="2"/>
  <c r="P158" i="2"/>
  <c r="AC192" i="2"/>
  <c r="E159" i="2"/>
  <c r="D160" i="2"/>
  <c r="Z192" i="2" l="1"/>
  <c r="U158" i="2"/>
  <c r="AI159" i="2"/>
  <c r="J159" i="2"/>
  <c r="AL159" i="2"/>
  <c r="M159" i="2" l="1"/>
  <c r="N159" i="2"/>
  <c r="I159" i="2"/>
  <c r="W193" i="2"/>
  <c r="AM160" i="2"/>
  <c r="K159" i="2"/>
  <c r="AR159" i="2"/>
  <c r="AQ159" i="2"/>
  <c r="L159" i="2"/>
  <c r="AB159" i="2"/>
  <c r="Y193" i="2"/>
  <c r="AK159" i="2"/>
  <c r="AJ193" i="2"/>
  <c r="AP160" i="2"/>
  <c r="AN160" i="2"/>
  <c r="X193" i="2" l="1"/>
  <c r="O159" i="2"/>
  <c r="P159" i="2"/>
  <c r="V159" i="2"/>
  <c r="AO160" i="2"/>
  <c r="H160" i="2" s="1"/>
  <c r="AC193" i="2"/>
  <c r="E160" i="2"/>
  <c r="D161" i="2"/>
  <c r="Z193" i="2" l="1"/>
  <c r="AI160" i="2"/>
  <c r="J160" i="2"/>
  <c r="U159" i="2"/>
  <c r="AL160" i="2"/>
  <c r="M160" i="2" l="1"/>
  <c r="N160" i="2"/>
  <c r="I160" i="2"/>
  <c r="W194" i="2"/>
  <c r="AM161" i="2"/>
  <c r="K160" i="2"/>
  <c r="AR160" i="2"/>
  <c r="AQ160" i="2"/>
  <c r="L160" i="2"/>
  <c r="AB160" i="2"/>
  <c r="Y194" i="2"/>
  <c r="AK160" i="2"/>
  <c r="AJ194" i="2"/>
  <c r="AP161" i="2"/>
  <c r="AN161" i="2"/>
  <c r="X194" i="2" l="1"/>
  <c r="O160" i="2"/>
  <c r="P160" i="2"/>
  <c r="V160" i="2"/>
  <c r="AO161" i="2"/>
  <c r="H161" i="2" s="1"/>
  <c r="AC194" i="2"/>
  <c r="E161" i="2"/>
  <c r="D162" i="2"/>
  <c r="Z194" i="2" l="1"/>
  <c r="U160" i="2"/>
  <c r="J161" i="2"/>
  <c r="AI161" i="2"/>
  <c r="AL161" i="2"/>
  <c r="M161" i="2" l="1"/>
  <c r="N161" i="2"/>
  <c r="I161" i="2"/>
  <c r="W195" i="2"/>
  <c r="AM162" i="2"/>
  <c r="K161" i="2"/>
  <c r="AR161" i="2"/>
  <c r="AQ161" i="2"/>
  <c r="L161" i="2"/>
  <c r="AJ195" i="2"/>
  <c r="AB161" i="2"/>
  <c r="Y195" i="2"/>
  <c r="AK161" i="2"/>
  <c r="AP162" i="2"/>
  <c r="AN162" i="2"/>
  <c r="X195" i="2" l="1"/>
  <c r="Z195" i="2" s="1"/>
  <c r="O161" i="2"/>
  <c r="AO162" i="2"/>
  <c r="V161" i="2"/>
  <c r="P161" i="2"/>
  <c r="W196" i="2" l="1"/>
  <c r="U161" i="2"/>
  <c r="H162" i="2"/>
  <c r="AC195" i="2"/>
  <c r="E162" i="2"/>
  <c r="D163" i="2"/>
  <c r="AI162" i="2"/>
  <c r="Y196" i="2"/>
  <c r="J162" i="2"/>
  <c r="AJ196" i="2"/>
  <c r="AL162" i="2"/>
  <c r="M162" i="2" l="1"/>
  <c r="N162" i="2"/>
  <c r="I162" i="2"/>
  <c r="X196" i="2"/>
  <c r="AM163" i="2"/>
  <c r="K162" i="2"/>
  <c r="AC196" i="2"/>
  <c r="AR162" i="2"/>
  <c r="AQ162" i="2"/>
  <c r="Z196" i="2" l="1"/>
  <c r="L162" i="2"/>
  <c r="AK162" i="2"/>
  <c r="AB162" i="2"/>
  <c r="AP163" i="2"/>
  <c r="AN163" i="2"/>
  <c r="O162" i="2" l="1"/>
  <c r="W197" i="2"/>
  <c r="V162" i="2"/>
  <c r="AO163" i="2"/>
  <c r="P162" i="2"/>
  <c r="H163" i="2"/>
  <c r="E163" i="2"/>
  <c r="D164" i="2"/>
  <c r="U162" i="2"/>
  <c r="J163" i="2"/>
  <c r="AI163" i="2"/>
  <c r="AJ197" i="2"/>
  <c r="Y197" i="2"/>
  <c r="AL163" i="2"/>
  <c r="X197" i="2" l="1"/>
  <c r="Z197" i="2" s="1"/>
  <c r="M163" i="2"/>
  <c r="N163" i="2"/>
  <c r="I163" i="2"/>
  <c r="AM164" i="2"/>
  <c r="K163" i="2"/>
  <c r="AR163" i="2"/>
  <c r="AQ163" i="2"/>
  <c r="W198" i="2" l="1"/>
  <c r="L163" i="2"/>
  <c r="AK163" i="2"/>
  <c r="AC197" i="2"/>
  <c r="AB163" i="2"/>
  <c r="AP164" i="2"/>
  <c r="AN164" i="2"/>
  <c r="O163" i="2" l="1"/>
  <c r="V163" i="2"/>
  <c r="P163" i="2"/>
  <c r="AO164" i="2"/>
  <c r="AJ198" i="2"/>
  <c r="H164" i="2"/>
  <c r="Y198" i="2"/>
  <c r="E164" i="2"/>
  <c r="D165" i="2"/>
  <c r="X198" i="2" l="1"/>
  <c r="Z198" i="2" s="1"/>
  <c r="AI164" i="2"/>
  <c r="U163" i="2"/>
  <c r="J164" i="2"/>
  <c r="AL164" i="2"/>
  <c r="M164" i="2" l="1"/>
  <c r="N164" i="2"/>
  <c r="I164" i="2"/>
  <c r="W199" i="2"/>
  <c r="AM165" i="2"/>
  <c r="K164" i="2"/>
  <c r="AC198" i="2"/>
  <c r="AR164" i="2"/>
  <c r="AQ164" i="2"/>
  <c r="L164" i="2"/>
  <c r="AK164" i="2"/>
  <c r="AB164" i="2"/>
  <c r="Y199" i="2"/>
  <c r="AJ199" i="2"/>
  <c r="AP165" i="2"/>
  <c r="AN165" i="2"/>
  <c r="X199" i="2" l="1"/>
  <c r="O164" i="2"/>
  <c r="P164" i="2"/>
  <c r="V164" i="2"/>
  <c r="AO165" i="2"/>
  <c r="H165" i="2" s="1"/>
  <c r="AC199" i="2"/>
  <c r="E165" i="2"/>
  <c r="D166" i="2"/>
  <c r="Z199" i="2" l="1"/>
  <c r="U164" i="2"/>
  <c r="J165" i="2"/>
  <c r="AI165" i="2"/>
  <c r="AL165" i="2"/>
  <c r="M165" i="2" l="1"/>
  <c r="N165" i="2"/>
  <c r="I165" i="2"/>
  <c r="W200" i="2"/>
  <c r="AM166" i="2"/>
  <c r="K165" i="2"/>
  <c r="AR165" i="2"/>
  <c r="AQ165" i="2"/>
  <c r="L165" i="2"/>
  <c r="AJ200" i="2"/>
  <c r="AK165" i="2"/>
  <c r="Y200" i="2"/>
  <c r="AB165" i="2"/>
  <c r="AP166" i="2"/>
  <c r="AN166" i="2"/>
  <c r="X200" i="2" l="1"/>
  <c r="Z200" i="2" s="1"/>
  <c r="O165" i="2"/>
  <c r="P165" i="2"/>
  <c r="AO166" i="2"/>
  <c r="V165" i="2"/>
  <c r="H166" i="2"/>
  <c r="E166" i="2"/>
  <c r="D167" i="2"/>
  <c r="W201" i="2" l="1"/>
  <c r="U165" i="2"/>
  <c r="J166" i="2"/>
  <c r="AI166" i="2"/>
  <c r="AC200" i="2"/>
  <c r="AL166" i="2"/>
  <c r="M166" i="2" l="1"/>
  <c r="N166" i="2"/>
  <c r="I166" i="2"/>
  <c r="AM167" i="2"/>
  <c r="K166" i="2"/>
  <c r="AJ201" i="2"/>
  <c r="Y201" i="2"/>
  <c r="AR166" i="2"/>
  <c r="AQ166" i="2"/>
  <c r="X201" i="2" l="1"/>
  <c r="Z201" i="2" s="1"/>
  <c r="AB166" i="2"/>
  <c r="AK166" i="2"/>
  <c r="L166" i="2"/>
  <c r="AP167" i="2"/>
  <c r="AN167" i="2"/>
  <c r="O166" i="2" l="1"/>
  <c r="W202" i="2"/>
  <c r="V166" i="2"/>
  <c r="AO167" i="2"/>
  <c r="P166" i="2"/>
  <c r="H167" i="2"/>
  <c r="AC201" i="2"/>
  <c r="E167" i="2"/>
  <c r="D168" i="2"/>
  <c r="Y202" i="2"/>
  <c r="J167" i="2"/>
  <c r="U166" i="2"/>
  <c r="AI167" i="2"/>
  <c r="AJ202" i="2"/>
  <c r="AL167" i="2"/>
  <c r="M167" i="2" l="1"/>
  <c r="N167" i="2"/>
  <c r="I167" i="2"/>
  <c r="X202" i="2"/>
  <c r="AM168" i="2"/>
  <c r="K167" i="2"/>
  <c r="AC202" i="2"/>
  <c r="AR167" i="2"/>
  <c r="AQ167" i="2"/>
  <c r="Z202" i="2" l="1"/>
  <c r="L167" i="2"/>
  <c r="AK167" i="2"/>
  <c r="AB167" i="2"/>
  <c r="AP168" i="2"/>
  <c r="AN168" i="2"/>
  <c r="O167" i="2" l="1"/>
  <c r="W203" i="2"/>
  <c r="V167" i="2"/>
  <c r="AO168" i="2"/>
  <c r="P167" i="2"/>
  <c r="H168" i="2"/>
  <c r="E168" i="2"/>
  <c r="D169" i="2"/>
  <c r="AI168" i="2"/>
  <c r="U167" i="2"/>
  <c r="J168" i="2"/>
  <c r="AJ203" i="2"/>
  <c r="Y203" i="2"/>
  <c r="AL168" i="2"/>
  <c r="X203" i="2" l="1"/>
  <c r="Z203" i="2" s="1"/>
  <c r="M168" i="2"/>
  <c r="N168" i="2"/>
  <c r="I168" i="2"/>
  <c r="AM169" i="2"/>
  <c r="K168" i="2"/>
  <c r="AR168" i="2"/>
  <c r="AQ168" i="2"/>
  <c r="W204" i="2" l="1"/>
  <c r="L168" i="2"/>
  <c r="AK168" i="2"/>
  <c r="AC203" i="2"/>
  <c r="AB168" i="2"/>
  <c r="AP169" i="2"/>
  <c r="AN169" i="2"/>
  <c r="O168" i="2" l="1"/>
  <c r="V168" i="2"/>
  <c r="AO169" i="2"/>
  <c r="H169" i="2" s="1"/>
  <c r="P168" i="2"/>
  <c r="Y204" i="2"/>
  <c r="AJ204" i="2"/>
  <c r="E169" i="2"/>
  <c r="D170" i="2"/>
  <c r="X204" i="2" l="1"/>
  <c r="AI169" i="2"/>
  <c r="J169" i="2"/>
  <c r="U168" i="2"/>
  <c r="AC204" i="2"/>
  <c r="AL169" i="2"/>
  <c r="M169" i="2" l="1"/>
  <c r="N169" i="2"/>
  <c r="I169" i="2"/>
  <c r="Z204" i="2"/>
  <c r="AM170" i="2"/>
  <c r="K169" i="2"/>
  <c r="AR169" i="2"/>
  <c r="AQ169" i="2"/>
  <c r="W205" i="2" l="1"/>
  <c r="L169" i="2"/>
  <c r="AK169" i="2"/>
  <c r="AB169" i="2"/>
  <c r="AP170" i="2"/>
  <c r="AN170" i="2"/>
  <c r="O169" i="2" l="1"/>
  <c r="V169" i="2"/>
  <c r="P169" i="2"/>
  <c r="AO170" i="2"/>
  <c r="Y205" i="2"/>
  <c r="AJ205" i="2"/>
  <c r="X205" i="2" l="1"/>
  <c r="U169" i="2"/>
  <c r="H170" i="2"/>
  <c r="AC205" i="2"/>
  <c r="E170" i="2"/>
  <c r="D171" i="2"/>
  <c r="Z205" i="2" l="1"/>
  <c r="J170" i="2"/>
  <c r="AI170" i="2"/>
  <c r="AL170" i="2"/>
  <c r="M170" i="2" l="1"/>
  <c r="N170" i="2"/>
  <c r="I170" i="2"/>
  <c r="W206" i="2"/>
  <c r="AM171" i="2"/>
  <c r="K170" i="2"/>
  <c r="AR170" i="2"/>
  <c r="AQ170" i="2"/>
  <c r="L170" i="2"/>
  <c r="AB170" i="2"/>
  <c r="Y206" i="2"/>
  <c r="AK170" i="2"/>
  <c r="AJ206" i="2"/>
  <c r="AP171" i="2"/>
  <c r="AN171" i="2"/>
  <c r="X206" i="2" l="1"/>
  <c r="O170" i="2"/>
  <c r="AO171" i="2"/>
  <c r="V170" i="2"/>
  <c r="P170" i="2"/>
  <c r="H171" i="2"/>
  <c r="AC206" i="2"/>
  <c r="E171" i="2"/>
  <c r="D172" i="2"/>
  <c r="Z206" i="2" l="1"/>
  <c r="U170" i="2"/>
  <c r="J171" i="2"/>
  <c r="AI171" i="2"/>
  <c r="AL171" i="2"/>
  <c r="M171" i="2" l="1"/>
  <c r="N171" i="2"/>
  <c r="I171" i="2"/>
  <c r="W207" i="2"/>
  <c r="AM172" i="2"/>
  <c r="K171" i="2"/>
  <c r="AR171" i="2"/>
  <c r="AQ171" i="2"/>
  <c r="L171" i="2"/>
  <c r="AJ207" i="2"/>
  <c r="AK171" i="2"/>
  <c r="AB171" i="2"/>
  <c r="Y207" i="2"/>
  <c r="AP172" i="2"/>
  <c r="AN172" i="2"/>
  <c r="X207" i="2" l="1"/>
  <c r="Z207" i="2" s="1"/>
  <c r="O171" i="2"/>
  <c r="V171" i="2"/>
  <c r="AO172" i="2"/>
  <c r="H172" i="2" s="1"/>
  <c r="P171" i="2"/>
  <c r="E172" i="2"/>
  <c r="D173" i="2"/>
  <c r="W208" i="2" l="1"/>
  <c r="U171" i="2"/>
  <c r="J172" i="2"/>
  <c r="AI172" i="2"/>
  <c r="AC207" i="2"/>
  <c r="AL172" i="2"/>
  <c r="M172" i="2" l="1"/>
  <c r="N172" i="2"/>
  <c r="I172" i="2"/>
  <c r="AJ208" i="2"/>
  <c r="Y208" i="2"/>
  <c r="AM173" i="2"/>
  <c r="K172" i="2"/>
  <c r="AR172" i="2"/>
  <c r="AQ172" i="2"/>
  <c r="X208" i="2" l="1"/>
  <c r="L172" i="2"/>
  <c r="AK172" i="2"/>
  <c r="AB172" i="2"/>
  <c r="AC208" i="2"/>
  <c r="AP173" i="2"/>
  <c r="AN173" i="2"/>
  <c r="O172" i="2" l="1"/>
  <c r="Z208" i="2"/>
  <c r="V172" i="2"/>
  <c r="AO173" i="2"/>
  <c r="P172" i="2"/>
  <c r="H173" i="2"/>
  <c r="E173" i="2"/>
  <c r="D174" i="2"/>
  <c r="W209" i="2" l="1"/>
  <c r="U172" i="2"/>
  <c r="AI173" i="2"/>
  <c r="J173" i="2"/>
  <c r="AL173" i="2"/>
  <c r="M173" i="2" l="1"/>
  <c r="N173" i="2"/>
  <c r="I173" i="2"/>
  <c r="AJ209" i="2"/>
  <c r="AM174" i="2"/>
  <c r="K173" i="2"/>
  <c r="Y209" i="2"/>
  <c r="AR173" i="2"/>
  <c r="AQ173" i="2"/>
  <c r="X209" i="2" l="1"/>
  <c r="Z209" i="2" s="1"/>
  <c r="L173" i="2"/>
  <c r="AB173" i="2"/>
  <c r="AK173" i="2"/>
  <c r="AP174" i="2"/>
  <c r="AN174" i="2"/>
  <c r="O173" i="2" l="1"/>
  <c r="W210" i="2"/>
  <c r="V173" i="2"/>
  <c r="P173" i="2"/>
  <c r="AO174" i="2"/>
  <c r="H174" i="2" s="1"/>
  <c r="AC209" i="2"/>
  <c r="E174" i="2"/>
  <c r="D175" i="2"/>
  <c r="AI174" i="2"/>
  <c r="J174" i="2"/>
  <c r="AJ210" i="2"/>
  <c r="U173" i="2"/>
  <c r="Y210" i="2"/>
  <c r="AL174" i="2"/>
  <c r="X210" i="2" l="1"/>
  <c r="Z210" i="2" s="1"/>
  <c r="M174" i="2"/>
  <c r="N174" i="2"/>
  <c r="I174" i="2"/>
  <c r="AC210" i="2"/>
  <c r="AM175" i="2"/>
  <c r="K174" i="2"/>
  <c r="AR174" i="2"/>
  <c r="AQ174" i="2"/>
  <c r="W211" i="2" l="1"/>
  <c r="L174" i="2"/>
  <c r="AK174" i="2"/>
  <c r="AB174" i="2"/>
  <c r="AP175" i="2"/>
  <c r="AN175" i="2"/>
  <c r="O174" i="2" l="1"/>
  <c r="V174" i="2"/>
  <c r="P174" i="2"/>
  <c r="AO175" i="2"/>
  <c r="AJ211" i="2"/>
  <c r="H175" i="2"/>
  <c r="Y211" i="2"/>
  <c r="E175" i="2"/>
  <c r="D176" i="2"/>
  <c r="X211" i="2" l="1"/>
  <c r="Z211" i="2" s="1"/>
  <c r="U174" i="2"/>
  <c r="J175" i="2"/>
  <c r="AI175" i="2"/>
  <c r="AC211" i="2"/>
  <c r="AL175" i="2"/>
  <c r="M175" i="2" l="1"/>
  <c r="N175" i="2"/>
  <c r="I175" i="2"/>
  <c r="W212" i="2"/>
  <c r="AM176" i="2"/>
  <c r="K175" i="2"/>
  <c r="AR175" i="2"/>
  <c r="AQ175" i="2"/>
  <c r="L175" i="2"/>
  <c r="AK175" i="2"/>
  <c r="AJ212" i="2"/>
  <c r="AB175" i="2"/>
  <c r="Y212" i="2"/>
  <c r="AP176" i="2"/>
  <c r="AN176" i="2"/>
  <c r="X212" i="2" l="1"/>
  <c r="Z212" i="2" s="1"/>
  <c r="O175" i="2"/>
  <c r="AO176" i="2"/>
  <c r="H176" i="2" s="1"/>
  <c r="P175" i="2"/>
  <c r="V175" i="2"/>
  <c r="E176" i="2"/>
  <c r="D177" i="2"/>
  <c r="W213" i="2" l="1"/>
  <c r="AI176" i="2"/>
  <c r="U175" i="2"/>
  <c r="J176" i="2"/>
  <c r="AC212" i="2"/>
  <c r="AL176" i="2"/>
  <c r="M176" i="2" l="1"/>
  <c r="N176" i="2"/>
  <c r="I176" i="2"/>
  <c r="Y213" i="2"/>
  <c r="AM177" i="2"/>
  <c r="K176" i="2"/>
  <c r="AJ213" i="2"/>
  <c r="AR176" i="2"/>
  <c r="AQ176" i="2"/>
  <c r="X213" i="2" l="1"/>
  <c r="AK176" i="2"/>
  <c r="L176" i="2"/>
  <c r="AB176" i="2"/>
  <c r="AC213" i="2"/>
  <c r="AP177" i="2"/>
  <c r="AN177" i="2"/>
  <c r="O176" i="2" l="1"/>
  <c r="Z213" i="2"/>
  <c r="V176" i="2"/>
  <c r="AO177" i="2"/>
  <c r="H177" i="2" s="1"/>
  <c r="P176" i="2"/>
  <c r="E177" i="2"/>
  <c r="D178" i="2"/>
  <c r="W214" i="2" l="1"/>
  <c r="U176" i="2"/>
  <c r="J177" i="2"/>
  <c r="AI177" i="2"/>
  <c r="AL177" i="2"/>
  <c r="M177" i="2" l="1"/>
  <c r="N177" i="2"/>
  <c r="I177" i="2"/>
  <c r="AJ214" i="2"/>
  <c r="AM178" i="2"/>
  <c r="K177" i="2"/>
  <c r="Y214" i="2"/>
  <c r="AR177" i="2"/>
  <c r="AQ177" i="2"/>
  <c r="X214" i="2" l="1"/>
  <c r="Z214" i="2" s="1"/>
  <c r="L177" i="2"/>
  <c r="AK177" i="2"/>
  <c r="AB177" i="2"/>
  <c r="AP178" i="2"/>
  <c r="AN178" i="2"/>
  <c r="O177" i="2" l="1"/>
  <c r="W215" i="2"/>
  <c r="V177" i="2"/>
  <c r="AO178" i="2"/>
  <c r="P177" i="2"/>
  <c r="AC214" i="2"/>
  <c r="H178" i="2"/>
  <c r="E178" i="2"/>
  <c r="D179" i="2"/>
  <c r="U177" i="2"/>
  <c r="AI178" i="2"/>
  <c r="Y215" i="2"/>
  <c r="J178" i="2"/>
  <c r="AJ215" i="2"/>
  <c r="AL178" i="2"/>
  <c r="M178" i="2" l="1"/>
  <c r="N178" i="2"/>
  <c r="I178" i="2"/>
  <c r="X215" i="2"/>
  <c r="AM179" i="2"/>
  <c r="K178" i="2"/>
  <c r="AC215" i="2"/>
  <c r="AR178" i="2"/>
  <c r="AQ178" i="2"/>
  <c r="Z215" i="2" l="1"/>
  <c r="L178" i="2"/>
  <c r="AB178" i="2"/>
  <c r="AK178" i="2"/>
  <c r="AP179" i="2"/>
  <c r="AN179" i="2"/>
  <c r="O178" i="2" l="1"/>
  <c r="W216" i="2"/>
  <c r="V178" i="2"/>
  <c r="P178" i="2"/>
  <c r="AO179" i="2"/>
  <c r="H179" i="2" s="1"/>
  <c r="E179" i="2"/>
  <c r="D180" i="2"/>
  <c r="AI179" i="2"/>
  <c r="U178" i="2"/>
  <c r="J179" i="2"/>
  <c r="AJ216" i="2"/>
  <c r="Y216" i="2"/>
  <c r="AL179" i="2"/>
  <c r="X216" i="2" l="1"/>
  <c r="Z216" i="2" s="1"/>
  <c r="M179" i="2"/>
  <c r="N179" i="2"/>
  <c r="I179" i="2"/>
  <c r="AM180" i="2"/>
  <c r="K179" i="2"/>
  <c r="AR179" i="2"/>
  <c r="AQ179" i="2"/>
  <c r="W217" i="2" l="1"/>
  <c r="L179" i="2"/>
  <c r="AK179" i="2"/>
  <c r="AC216" i="2"/>
  <c r="AB179" i="2"/>
  <c r="AP180" i="2"/>
  <c r="AN180" i="2"/>
  <c r="O179" i="2" l="1"/>
  <c r="V179" i="2"/>
  <c r="AO180" i="2"/>
  <c r="P179" i="2"/>
  <c r="H180" i="2"/>
  <c r="Y217" i="2"/>
  <c r="AJ217" i="2"/>
  <c r="E180" i="2"/>
  <c r="D181" i="2"/>
  <c r="X217" i="2" l="1"/>
  <c r="Z217" i="2" s="1"/>
  <c r="J180" i="2"/>
  <c r="AI180" i="2"/>
  <c r="U179" i="2"/>
  <c r="AL180" i="2"/>
  <c r="M180" i="2" l="1"/>
  <c r="N180" i="2"/>
  <c r="I180" i="2"/>
  <c r="W218" i="2"/>
  <c r="AM181" i="2"/>
  <c r="K180" i="2"/>
  <c r="AC217" i="2"/>
  <c r="AR180" i="2"/>
  <c r="AQ180" i="2"/>
  <c r="L180" i="2"/>
  <c r="AK180" i="2"/>
  <c r="AB180" i="2"/>
  <c r="AJ218" i="2"/>
  <c r="Y218" i="2"/>
  <c r="AP181" i="2"/>
  <c r="AN181" i="2"/>
  <c r="X218" i="2" l="1"/>
  <c r="Z218" i="2" s="1"/>
  <c r="O180" i="2"/>
  <c r="P180" i="2"/>
  <c r="V180" i="2"/>
  <c r="AO181" i="2"/>
  <c r="W219" i="2" l="1"/>
  <c r="H181" i="2"/>
  <c r="AC218" i="2"/>
  <c r="U180" i="2"/>
  <c r="E181" i="2"/>
  <c r="D182" i="2"/>
  <c r="AJ219" i="2"/>
  <c r="AI181" i="2"/>
  <c r="Y219" i="2"/>
  <c r="J181" i="2"/>
  <c r="AL181" i="2"/>
  <c r="M181" i="2" l="1"/>
  <c r="N181" i="2"/>
  <c r="I181" i="2"/>
  <c r="X219" i="2"/>
  <c r="Z219" i="2" s="1"/>
  <c r="AM182" i="2"/>
  <c r="K181" i="2"/>
  <c r="AR181" i="2"/>
  <c r="AQ181" i="2"/>
  <c r="W220" i="2" l="1"/>
  <c r="L181" i="2"/>
  <c r="AK181" i="2"/>
  <c r="AB181" i="2"/>
  <c r="AC219" i="2"/>
  <c r="AP182" i="2"/>
  <c r="AN182" i="2"/>
  <c r="O181" i="2" l="1"/>
  <c r="V181" i="2"/>
  <c r="P181" i="2"/>
  <c r="AJ220" i="2"/>
  <c r="AO182" i="2"/>
  <c r="Y220" i="2"/>
  <c r="X220" i="2" l="1"/>
  <c r="Z220" i="2" s="1"/>
  <c r="H182" i="2"/>
  <c r="U181" i="2"/>
  <c r="E182" i="2"/>
  <c r="D183" i="2"/>
  <c r="W221" i="2" l="1"/>
  <c r="AC220" i="2"/>
  <c r="AI182" i="2"/>
  <c r="J182" i="2"/>
  <c r="AL182" i="2"/>
  <c r="M182" i="2" l="1"/>
  <c r="N182" i="2"/>
  <c r="I182" i="2"/>
  <c r="AM183" i="2"/>
  <c r="K182" i="2"/>
  <c r="Y221" i="2"/>
  <c r="AJ221" i="2"/>
  <c r="AR182" i="2"/>
  <c r="AQ182" i="2"/>
  <c r="X221" i="2" l="1"/>
  <c r="L182" i="2"/>
  <c r="AK182" i="2"/>
  <c r="AB182" i="2"/>
  <c r="AC221" i="2"/>
  <c r="AP183" i="2"/>
  <c r="AN183" i="2"/>
  <c r="O182" i="2" l="1"/>
  <c r="Z221" i="2"/>
  <c r="V182" i="2"/>
  <c r="P182" i="2"/>
  <c r="AO183" i="2"/>
  <c r="H183" i="2" s="1"/>
  <c r="E183" i="2"/>
  <c r="D184" i="2"/>
  <c r="W222" i="2" l="1"/>
  <c r="AI183" i="2"/>
  <c r="J183" i="2"/>
  <c r="U182" i="2"/>
  <c r="AL183" i="2"/>
  <c r="M183" i="2" l="1"/>
  <c r="N183" i="2"/>
  <c r="I183" i="2"/>
  <c r="AM184" i="2"/>
  <c r="K183" i="2"/>
  <c r="Y222" i="2"/>
  <c r="AJ222" i="2"/>
  <c r="AR183" i="2"/>
  <c r="AQ183" i="2"/>
  <c r="X222" i="2" l="1"/>
  <c r="L183" i="2"/>
  <c r="AK183" i="2"/>
  <c r="AB183" i="2"/>
  <c r="AC222" i="2"/>
  <c r="AP184" i="2"/>
  <c r="AN184" i="2"/>
  <c r="O183" i="2" l="1"/>
  <c r="Z222" i="2"/>
  <c r="V183" i="2"/>
  <c r="P183" i="2"/>
  <c r="AO184" i="2"/>
  <c r="H184" i="2"/>
  <c r="E184" i="2"/>
  <c r="D185" i="2"/>
  <c r="W223" i="2" l="1"/>
  <c r="U183" i="2"/>
  <c r="AI184" i="2"/>
  <c r="J184" i="2"/>
  <c r="AL184" i="2"/>
  <c r="M184" i="2" l="1"/>
  <c r="N184" i="2"/>
  <c r="I184" i="2"/>
  <c r="AM185" i="2"/>
  <c r="K184" i="2"/>
  <c r="Y223" i="2"/>
  <c r="AJ223" i="2"/>
  <c r="AR184" i="2"/>
  <c r="AQ184" i="2"/>
  <c r="X223" i="2" l="1"/>
  <c r="AB184" i="2"/>
  <c r="L184" i="2"/>
  <c r="AK184" i="2"/>
  <c r="AC223" i="2"/>
  <c r="AP185" i="2"/>
  <c r="AN185" i="2"/>
  <c r="O184" i="2" l="1"/>
  <c r="Z223" i="2"/>
  <c r="V184" i="2"/>
  <c r="AO185" i="2"/>
  <c r="P184" i="2"/>
  <c r="H185" i="2"/>
  <c r="E185" i="2"/>
  <c r="D186" i="2"/>
  <c r="W224" i="2" l="1"/>
  <c r="J185" i="2"/>
  <c r="AI185" i="2"/>
  <c r="U184" i="2"/>
  <c r="AL185" i="2"/>
  <c r="M185" i="2" l="1"/>
  <c r="N185" i="2"/>
  <c r="I185" i="2"/>
  <c r="AM186" i="2"/>
  <c r="K185" i="2"/>
  <c r="AJ224" i="2"/>
  <c r="Y224" i="2"/>
  <c r="AR185" i="2"/>
  <c r="AQ185" i="2"/>
  <c r="X224" i="2" l="1"/>
  <c r="Z224" i="2" s="1"/>
  <c r="AB185" i="2"/>
  <c r="L185" i="2"/>
  <c r="AK185" i="2"/>
  <c r="AP186" i="2"/>
  <c r="AN186" i="2"/>
  <c r="O185" i="2" l="1"/>
  <c r="W225" i="2"/>
  <c r="V185" i="2"/>
  <c r="P185" i="2"/>
  <c r="AO186" i="2"/>
  <c r="H186" i="2" s="1"/>
  <c r="AC224" i="2"/>
  <c r="E186" i="2"/>
  <c r="D187" i="2"/>
  <c r="U185" i="2"/>
  <c r="AI186" i="2"/>
  <c r="J186" i="2"/>
  <c r="AJ225" i="2"/>
  <c r="Y225" i="2"/>
  <c r="AL186" i="2"/>
  <c r="X225" i="2" l="1"/>
  <c r="Z225" i="2" s="1"/>
  <c r="M186" i="2"/>
  <c r="N186" i="2"/>
  <c r="I186" i="2"/>
  <c r="AM187" i="2"/>
  <c r="K186" i="2"/>
  <c r="AR186" i="2"/>
  <c r="AQ186" i="2"/>
  <c r="W226" i="2" l="1"/>
  <c r="L186" i="2"/>
  <c r="AK186" i="2"/>
  <c r="AB186" i="2"/>
  <c r="AC225" i="2"/>
  <c r="AP187" i="2"/>
  <c r="AN187" i="2"/>
  <c r="O186" i="2" l="1"/>
  <c r="V186" i="2"/>
  <c r="AO187" i="2"/>
  <c r="P186" i="2"/>
  <c r="Y226" i="2"/>
  <c r="AJ226" i="2"/>
  <c r="X226" i="2" l="1"/>
  <c r="H187" i="2"/>
  <c r="U186" i="2"/>
  <c r="AC226" i="2"/>
  <c r="E187" i="2"/>
  <c r="D188" i="2"/>
  <c r="Z226" i="2" l="1"/>
  <c r="J187" i="2"/>
  <c r="AI187" i="2"/>
  <c r="AL187" i="2"/>
  <c r="M187" i="2" l="1"/>
  <c r="N187" i="2"/>
  <c r="I187" i="2"/>
  <c r="W227" i="2"/>
  <c r="AM188" i="2"/>
  <c r="K187" i="2"/>
  <c r="AR187" i="2"/>
  <c r="AQ187" i="2"/>
  <c r="L187" i="2"/>
  <c r="AK187" i="2"/>
  <c r="Y227" i="2"/>
  <c r="AB187" i="2"/>
  <c r="AJ227" i="2"/>
  <c r="AP188" i="2"/>
  <c r="AN188" i="2"/>
  <c r="X227" i="2" l="1"/>
  <c r="O187" i="2"/>
  <c r="AO188" i="2"/>
  <c r="V187" i="2"/>
  <c r="H188" i="2"/>
  <c r="P187" i="2"/>
  <c r="AC227" i="2"/>
  <c r="E188" i="2"/>
  <c r="D189" i="2"/>
  <c r="Z227" i="2" l="1"/>
  <c r="AI188" i="2"/>
  <c r="U187" i="2"/>
  <c r="J188" i="2"/>
  <c r="AL188" i="2"/>
  <c r="M188" i="2" l="1"/>
  <c r="N188" i="2"/>
  <c r="I188" i="2"/>
  <c r="W228" i="2"/>
  <c r="AM189" i="2"/>
  <c r="K188" i="2"/>
  <c r="AR188" i="2"/>
  <c r="AQ188" i="2"/>
  <c r="L188" i="2"/>
  <c r="AK188" i="2"/>
  <c r="AB188" i="2"/>
  <c r="AJ228" i="2"/>
  <c r="Y228" i="2"/>
  <c r="AP189" i="2"/>
  <c r="AN189" i="2"/>
  <c r="X228" i="2" l="1"/>
  <c r="Z228" i="2" s="1"/>
  <c r="O188" i="2"/>
  <c r="AO189" i="2"/>
  <c r="V188" i="2"/>
  <c r="P188" i="2"/>
  <c r="W229" i="2" l="1"/>
  <c r="U188" i="2"/>
  <c r="AC228" i="2"/>
  <c r="H189" i="2"/>
  <c r="E189" i="2"/>
  <c r="D190" i="2"/>
  <c r="AI189" i="2"/>
  <c r="J189" i="2"/>
  <c r="AJ229" i="2"/>
  <c r="Y229" i="2"/>
  <c r="AL189" i="2"/>
  <c r="X229" i="2" l="1"/>
  <c r="Z229" i="2" s="1"/>
  <c r="M189" i="2"/>
  <c r="N189" i="2"/>
  <c r="I189" i="2"/>
  <c r="AM190" i="2"/>
  <c r="K189" i="2"/>
  <c r="AR189" i="2"/>
  <c r="AQ189" i="2"/>
  <c r="W230" i="2" l="1"/>
  <c r="L189" i="2"/>
  <c r="AC229" i="2"/>
  <c r="AK189" i="2"/>
  <c r="AB189" i="2"/>
  <c r="AP190" i="2"/>
  <c r="AN190" i="2"/>
  <c r="O189" i="2" l="1"/>
  <c r="V189" i="2"/>
  <c r="AO190" i="2"/>
  <c r="P189" i="2"/>
  <c r="AJ230" i="2"/>
  <c r="H190" i="2"/>
  <c r="Y230" i="2"/>
  <c r="E190" i="2"/>
  <c r="D191" i="2"/>
  <c r="X230" i="2" l="1"/>
  <c r="Z230" i="2" s="1"/>
  <c r="U189" i="2"/>
  <c r="AI190" i="2"/>
  <c r="J190" i="2"/>
  <c r="AL190" i="2"/>
  <c r="M190" i="2" l="1"/>
  <c r="N190" i="2"/>
  <c r="I190" i="2"/>
  <c r="W231" i="2"/>
  <c r="AM191" i="2"/>
  <c r="K190" i="2"/>
  <c r="AC230" i="2"/>
  <c r="AR190" i="2"/>
  <c r="AQ190" i="2"/>
  <c r="L190" i="2"/>
  <c r="AJ231" i="2"/>
  <c r="AK190" i="2"/>
  <c r="AB190" i="2"/>
  <c r="Y231" i="2"/>
  <c r="AP191" i="2"/>
  <c r="AN191" i="2"/>
  <c r="X231" i="2" l="1"/>
  <c r="Z231" i="2" s="1"/>
  <c r="O190" i="2"/>
  <c r="P190" i="2"/>
  <c r="V190" i="2"/>
  <c r="AO191" i="2"/>
  <c r="W232" i="2" l="1"/>
  <c r="H191" i="2"/>
  <c r="U190" i="2"/>
  <c r="AC231" i="2"/>
  <c r="E191" i="2"/>
  <c r="D192" i="2"/>
  <c r="AI191" i="2"/>
  <c r="J191" i="2"/>
  <c r="AJ232" i="2"/>
  <c r="Y232" i="2"/>
  <c r="AL191" i="2"/>
  <c r="X232" i="2" l="1"/>
  <c r="Z232" i="2" s="1"/>
  <c r="M191" i="2"/>
  <c r="N191" i="2"/>
  <c r="I191" i="2"/>
  <c r="AM192" i="2"/>
  <c r="K191" i="2"/>
  <c r="AR191" i="2"/>
  <c r="AQ191" i="2"/>
  <c r="W233" i="2" l="1"/>
  <c r="L191" i="2"/>
  <c r="AB191" i="2"/>
  <c r="AK191" i="2"/>
  <c r="AC232" i="2"/>
  <c r="AP192" i="2"/>
  <c r="AN192" i="2"/>
  <c r="O191" i="2" l="1"/>
  <c r="V191" i="2"/>
  <c r="AJ233" i="2"/>
  <c r="P191" i="2"/>
  <c r="AO192" i="2"/>
  <c r="Y233" i="2"/>
  <c r="H192" i="2"/>
  <c r="E192" i="2"/>
  <c r="D193" i="2"/>
  <c r="X233" i="2" l="1"/>
  <c r="Z233" i="2" s="1"/>
  <c r="AI192" i="2"/>
  <c r="J192" i="2"/>
  <c r="U191" i="2"/>
  <c r="AL192" i="2"/>
  <c r="M192" i="2" l="1"/>
  <c r="N192" i="2"/>
  <c r="I192" i="2"/>
  <c r="W234" i="2"/>
  <c r="AC233" i="2"/>
  <c r="AM193" i="2"/>
  <c r="K192" i="2"/>
  <c r="AR192" i="2"/>
  <c r="AQ192" i="2"/>
  <c r="L192" i="2"/>
  <c r="AB192" i="2"/>
  <c r="AK192" i="2"/>
  <c r="Y234" i="2"/>
  <c r="AJ234" i="2"/>
  <c r="AP193" i="2"/>
  <c r="AN193" i="2"/>
  <c r="X234" i="2" l="1"/>
  <c r="O192" i="2"/>
  <c r="P192" i="2"/>
  <c r="V192" i="2"/>
  <c r="AO193" i="2"/>
  <c r="AC234" i="2"/>
  <c r="Z234" i="2" l="1"/>
  <c r="H193" i="2"/>
  <c r="U192" i="2"/>
  <c r="E193" i="2"/>
  <c r="D194" i="2"/>
  <c r="W235" i="2" l="1"/>
  <c r="J193" i="2"/>
  <c r="AI193" i="2"/>
  <c r="AL193" i="2"/>
  <c r="M193" i="2" l="1"/>
  <c r="N193" i="2"/>
  <c r="I193" i="2"/>
  <c r="AJ235" i="2"/>
  <c r="AM194" i="2"/>
  <c r="K193" i="2"/>
  <c r="Y235" i="2"/>
  <c r="AR193" i="2"/>
  <c r="AQ193" i="2"/>
  <c r="X235" i="2" l="1"/>
  <c r="Z235" i="2" s="1"/>
  <c r="AB193" i="2"/>
  <c r="L193" i="2"/>
  <c r="AK193" i="2"/>
  <c r="AP194" i="2"/>
  <c r="AN194" i="2"/>
  <c r="O193" i="2" l="1"/>
  <c r="W236" i="2"/>
  <c r="V193" i="2"/>
  <c r="AO194" i="2"/>
  <c r="P193" i="2"/>
  <c r="H194" i="2"/>
  <c r="AC235" i="2"/>
  <c r="E194" i="2"/>
  <c r="D195" i="2"/>
  <c r="U193" i="2"/>
  <c r="AI194" i="2"/>
  <c r="J194" i="2"/>
  <c r="Y236" i="2"/>
  <c r="AJ236" i="2"/>
  <c r="AL194" i="2"/>
  <c r="X236" i="2" l="1"/>
  <c r="M194" i="2"/>
  <c r="N194" i="2"/>
  <c r="I194" i="2"/>
  <c r="AM195" i="2"/>
  <c r="K194" i="2"/>
  <c r="AC236" i="2"/>
  <c r="AR194" i="2"/>
  <c r="AQ194" i="2"/>
  <c r="Z236" i="2" l="1"/>
  <c r="L194" i="2"/>
  <c r="AB194" i="2"/>
  <c r="AK194" i="2"/>
  <c r="AP195" i="2"/>
  <c r="AN195" i="2"/>
  <c r="O194" i="2" l="1"/>
  <c r="W237" i="2"/>
  <c r="V194" i="2"/>
  <c r="P194" i="2"/>
  <c r="AO195" i="2"/>
  <c r="H195" i="2"/>
  <c r="E195" i="2"/>
  <c r="D196" i="2"/>
  <c r="Y237" i="2"/>
  <c r="AJ237" i="2"/>
  <c r="AI195" i="2"/>
  <c r="J195" i="2"/>
  <c r="U194" i="2"/>
  <c r="AL195" i="2"/>
  <c r="M195" i="2" l="1"/>
  <c r="N195" i="2"/>
  <c r="I195" i="2"/>
  <c r="X237" i="2"/>
  <c r="AM196" i="2"/>
  <c r="K195" i="2"/>
  <c r="AC237" i="2"/>
  <c r="AR195" i="2"/>
  <c r="AQ195" i="2"/>
  <c r="Z237" i="2" l="1"/>
  <c r="L195" i="2"/>
  <c r="AB195" i="2"/>
  <c r="AK195" i="2"/>
  <c r="AP196" i="2"/>
  <c r="AN196" i="2"/>
  <c r="O195" i="2" l="1"/>
  <c r="W238" i="2"/>
  <c r="V195" i="2"/>
  <c r="AO196" i="2"/>
  <c r="P195" i="2"/>
  <c r="H196" i="2"/>
  <c r="U195" i="2"/>
  <c r="AJ238" i="2"/>
  <c r="Y238" i="2"/>
  <c r="E196" i="2"/>
  <c r="D197" i="2"/>
  <c r="X238" i="2" l="1"/>
  <c r="Z238" i="2" s="1"/>
  <c r="J196" i="2"/>
  <c r="AI196" i="2"/>
  <c r="AL196" i="2"/>
  <c r="M196" i="2" l="1"/>
  <c r="N196" i="2"/>
  <c r="I196" i="2"/>
  <c r="W239" i="2"/>
  <c r="AM197" i="2"/>
  <c r="K196" i="2"/>
  <c r="AC238" i="2"/>
  <c r="AR196" i="2"/>
  <c r="AQ196" i="2"/>
  <c r="L196" i="2"/>
  <c r="AB196" i="2"/>
  <c r="AJ239" i="2"/>
  <c r="AK196" i="2"/>
  <c r="Y239" i="2"/>
  <c r="AP197" i="2"/>
  <c r="AN197" i="2"/>
  <c r="X239" i="2" l="1"/>
  <c r="Z239" i="2" s="1"/>
  <c r="O196" i="2"/>
  <c r="V196" i="2"/>
  <c r="P196" i="2"/>
  <c r="AO197" i="2"/>
  <c r="H197" i="2" s="1"/>
  <c r="E197" i="2"/>
  <c r="D198" i="2"/>
  <c r="W240" i="2" l="1"/>
  <c r="U196" i="2"/>
  <c r="AI197" i="2"/>
  <c r="J197" i="2"/>
  <c r="AC239" i="2"/>
  <c r="AL197" i="2"/>
  <c r="M197" i="2" l="1"/>
  <c r="N197" i="2"/>
  <c r="I197" i="2"/>
  <c r="AM198" i="2"/>
  <c r="K197" i="2"/>
  <c r="AJ240" i="2"/>
  <c r="Y240" i="2"/>
  <c r="AR197" i="2"/>
  <c r="AQ197" i="2"/>
  <c r="X240" i="2" l="1"/>
  <c r="Z240" i="2" s="1"/>
  <c r="L197" i="2"/>
  <c r="AB197" i="2"/>
  <c r="AK197" i="2"/>
  <c r="AP198" i="2"/>
  <c r="AN198" i="2"/>
  <c r="O197" i="2" l="1"/>
  <c r="W241" i="2"/>
  <c r="V197" i="2"/>
  <c r="P197" i="2"/>
  <c r="AO198" i="2"/>
  <c r="H198" i="2"/>
  <c r="AC240" i="2"/>
  <c r="E198" i="2"/>
  <c r="D199" i="2"/>
  <c r="AJ241" i="2"/>
  <c r="J198" i="2"/>
  <c r="AI198" i="2"/>
  <c r="Y241" i="2"/>
  <c r="U197" i="2"/>
  <c r="AL198" i="2"/>
  <c r="X241" i="2" l="1"/>
  <c r="Z241" i="2" s="1"/>
  <c r="M198" i="2"/>
  <c r="N198" i="2"/>
  <c r="I198" i="2"/>
  <c r="AM199" i="2"/>
  <c r="K198" i="2"/>
  <c r="AC241" i="2"/>
  <c r="AR198" i="2"/>
  <c r="AQ198" i="2"/>
  <c r="W242" i="2" l="1"/>
  <c r="L198" i="2"/>
  <c r="AB198" i="2"/>
  <c r="AK198" i="2"/>
  <c r="AP199" i="2"/>
  <c r="AN199" i="2"/>
  <c r="O198" i="2" l="1"/>
  <c r="V198" i="2"/>
  <c r="Y242" i="2"/>
  <c r="P198" i="2"/>
  <c r="AO199" i="2"/>
  <c r="H199" i="2" s="1"/>
  <c r="AJ242" i="2"/>
  <c r="E199" i="2"/>
  <c r="D200" i="2"/>
  <c r="X242" i="2" l="1"/>
  <c r="AI199" i="2"/>
  <c r="U198" i="2"/>
  <c r="J199" i="2"/>
  <c r="AC242" i="2"/>
  <c r="AL199" i="2"/>
  <c r="M199" i="2" l="1"/>
  <c r="N199" i="2"/>
  <c r="I199" i="2"/>
  <c r="Z242" i="2"/>
  <c r="AM200" i="2"/>
  <c r="K199" i="2"/>
  <c r="AR199" i="2"/>
  <c r="AQ199" i="2"/>
  <c r="W243" i="2" l="1"/>
  <c r="L199" i="2"/>
  <c r="AK199" i="2"/>
  <c r="AB199" i="2"/>
  <c r="AP200" i="2"/>
  <c r="AN200" i="2"/>
  <c r="O199" i="2" l="1"/>
  <c r="V199" i="2"/>
  <c r="P199" i="2"/>
  <c r="AJ243" i="2"/>
  <c r="AO200" i="2"/>
  <c r="Y243" i="2"/>
  <c r="X243" i="2" l="1"/>
  <c r="Z243" i="2" s="1"/>
  <c r="H200" i="2"/>
  <c r="U199" i="2"/>
  <c r="E200" i="2"/>
  <c r="D201" i="2"/>
  <c r="W244" i="2" l="1"/>
  <c r="AI200" i="2"/>
  <c r="J200" i="2"/>
  <c r="AC243" i="2"/>
  <c r="AL200" i="2"/>
  <c r="M200" i="2" l="1"/>
  <c r="N200" i="2"/>
  <c r="I200" i="2"/>
  <c r="AM201" i="2"/>
  <c r="K200" i="2"/>
  <c r="Y244" i="2"/>
  <c r="AJ244" i="2"/>
  <c r="AR200" i="2"/>
  <c r="AQ200" i="2"/>
  <c r="X244" i="2" l="1"/>
  <c r="L200" i="2"/>
  <c r="AB200" i="2"/>
  <c r="AK200" i="2"/>
  <c r="AC244" i="2"/>
  <c r="AP201" i="2"/>
  <c r="AN201" i="2"/>
  <c r="O200" i="2" l="1"/>
  <c r="Z244" i="2"/>
  <c r="V200" i="2"/>
  <c r="AO201" i="2"/>
  <c r="P200" i="2"/>
  <c r="H201" i="2"/>
  <c r="E201" i="2"/>
  <c r="D202" i="2"/>
  <c r="W245" i="2" l="1"/>
  <c r="U200" i="2"/>
  <c r="AI201" i="2"/>
  <c r="J201" i="2"/>
  <c r="AL201" i="2"/>
  <c r="M201" i="2" l="1"/>
  <c r="N201" i="2"/>
  <c r="I201" i="2"/>
  <c r="AM202" i="2"/>
  <c r="K201" i="2"/>
  <c r="AJ245" i="2"/>
  <c r="Y245" i="2"/>
  <c r="AR201" i="2"/>
  <c r="AQ201" i="2"/>
  <c r="X245" i="2" l="1"/>
  <c r="Z245" i="2" s="1"/>
  <c r="AB201" i="2"/>
  <c r="L201" i="2"/>
  <c r="AK201" i="2"/>
  <c r="AP202" i="2"/>
  <c r="AN202" i="2"/>
  <c r="O201" i="2" l="1"/>
  <c r="W246" i="2"/>
  <c r="V201" i="2"/>
  <c r="AO202" i="2"/>
  <c r="P201" i="2"/>
  <c r="H202" i="2"/>
  <c r="AC245" i="2"/>
  <c r="E202" i="2"/>
  <c r="D203" i="2"/>
  <c r="AJ246" i="2"/>
  <c r="AI202" i="2"/>
  <c r="U201" i="2"/>
  <c r="J202" i="2"/>
  <c r="Y246" i="2"/>
  <c r="AL202" i="2"/>
  <c r="X246" i="2" l="1"/>
  <c r="Z246" i="2" s="1"/>
  <c r="M202" i="2"/>
  <c r="N202" i="2"/>
  <c r="I202" i="2"/>
  <c r="AM203" i="2"/>
  <c r="K202" i="2"/>
  <c r="AC246" i="2"/>
  <c r="AR202" i="2"/>
  <c r="AQ202" i="2"/>
  <c r="W247" i="2" l="1"/>
  <c r="L202" i="2"/>
  <c r="AB202" i="2"/>
  <c r="AK202" i="2"/>
  <c r="AP203" i="2"/>
  <c r="AN203" i="2"/>
  <c r="O202" i="2" l="1"/>
  <c r="V202" i="2"/>
  <c r="AO203" i="2"/>
  <c r="P202" i="2"/>
  <c r="Y247" i="2"/>
  <c r="AJ247" i="2"/>
  <c r="X247" i="2" l="1"/>
  <c r="H203" i="2"/>
  <c r="U202" i="2"/>
  <c r="AC247" i="2"/>
  <c r="E203" i="2"/>
  <c r="D204" i="2"/>
  <c r="Z247" i="2" l="1"/>
  <c r="J203" i="2"/>
  <c r="AI203" i="2"/>
  <c r="AL203" i="2"/>
  <c r="M203" i="2" l="1"/>
  <c r="N203" i="2"/>
  <c r="I203" i="2"/>
  <c r="W248" i="2"/>
  <c r="AM204" i="2"/>
  <c r="K203" i="2"/>
  <c r="AR203" i="2"/>
  <c r="AQ203" i="2"/>
  <c r="L203" i="2"/>
  <c r="AK203" i="2"/>
  <c r="AJ248" i="2"/>
  <c r="AB203" i="2"/>
  <c r="Y248" i="2"/>
  <c r="AP204" i="2"/>
  <c r="AN204" i="2"/>
  <c r="X248" i="2" l="1"/>
  <c r="Z248" i="2" s="1"/>
  <c r="O203" i="2"/>
  <c r="P203" i="2"/>
  <c r="V203" i="2"/>
  <c r="AO204" i="2"/>
  <c r="H204" i="2" s="1"/>
  <c r="E204" i="2"/>
  <c r="D205" i="2"/>
  <c r="W249" i="2" l="1"/>
  <c r="J204" i="2"/>
  <c r="AI204" i="2"/>
  <c r="U203" i="2"/>
  <c r="AC248" i="2"/>
  <c r="AL204" i="2"/>
  <c r="M204" i="2" l="1"/>
  <c r="N204" i="2"/>
  <c r="I204" i="2"/>
  <c r="AM205" i="2"/>
  <c r="K204" i="2"/>
  <c r="Y249" i="2"/>
  <c r="AJ249" i="2"/>
  <c r="AR204" i="2"/>
  <c r="AQ204" i="2"/>
  <c r="X249" i="2" l="1"/>
  <c r="AB204" i="2"/>
  <c r="L204" i="2"/>
  <c r="AK204" i="2"/>
  <c r="AC249" i="2"/>
  <c r="AP205" i="2"/>
  <c r="AN205" i="2"/>
  <c r="O204" i="2" l="1"/>
  <c r="Z249" i="2"/>
  <c r="V204" i="2"/>
  <c r="AO205" i="2"/>
  <c r="P204" i="2"/>
  <c r="W250" i="2" l="1"/>
  <c r="H205" i="2"/>
  <c r="U204" i="2"/>
  <c r="E205" i="2"/>
  <c r="D206" i="2"/>
  <c r="AJ250" i="2"/>
  <c r="J205" i="2"/>
  <c r="AI205" i="2"/>
  <c r="Y250" i="2"/>
  <c r="AL205" i="2"/>
  <c r="X250" i="2" l="1"/>
  <c r="Z250" i="2" s="1"/>
  <c r="M205" i="2"/>
  <c r="N205" i="2"/>
  <c r="I205" i="2"/>
  <c r="AC250" i="2"/>
  <c r="AM206" i="2"/>
  <c r="K205" i="2"/>
  <c r="AR205" i="2"/>
  <c r="AQ205" i="2"/>
  <c r="W251" i="2" l="1"/>
  <c r="L205" i="2"/>
  <c r="AK205" i="2"/>
  <c r="AB205" i="2"/>
  <c r="AP206" i="2"/>
  <c r="AN206" i="2"/>
  <c r="O205" i="2" l="1"/>
  <c r="V205" i="2"/>
  <c r="AJ251" i="2"/>
  <c r="AO206" i="2"/>
  <c r="P205" i="2"/>
  <c r="H206" i="2"/>
  <c r="Y251" i="2"/>
  <c r="E206" i="2"/>
  <c r="D207" i="2"/>
  <c r="X251" i="2" l="1"/>
  <c r="Z251" i="2" s="1"/>
  <c r="AI206" i="2"/>
  <c r="J206" i="2"/>
  <c r="U205" i="2"/>
  <c r="AL206" i="2"/>
  <c r="M206" i="2" l="1"/>
  <c r="N206" i="2"/>
  <c r="I206" i="2"/>
  <c r="W252" i="2"/>
  <c r="AM207" i="2"/>
  <c r="K206" i="2"/>
  <c r="AC251" i="2"/>
  <c r="AR206" i="2"/>
  <c r="AQ206" i="2"/>
  <c r="L206" i="2"/>
  <c r="AK206" i="2"/>
  <c r="AB206" i="2"/>
  <c r="AJ252" i="2"/>
  <c r="Y252" i="2"/>
  <c r="AP207" i="2"/>
  <c r="AN207" i="2"/>
  <c r="X252" i="2" l="1"/>
  <c r="Z252" i="2" s="1"/>
  <c r="O206" i="2"/>
  <c r="P206" i="2"/>
  <c r="V206" i="2"/>
  <c r="AO207" i="2"/>
  <c r="H207" i="2"/>
  <c r="E207" i="2"/>
  <c r="D208" i="2"/>
  <c r="W253" i="2" l="1"/>
  <c r="J207" i="2"/>
  <c r="AI207" i="2"/>
  <c r="AC252" i="2"/>
  <c r="U206" i="2"/>
  <c r="AL207" i="2"/>
  <c r="M207" i="2" l="1"/>
  <c r="N207" i="2"/>
  <c r="I207" i="2"/>
  <c r="Y253" i="2"/>
  <c r="AJ253" i="2"/>
  <c r="AM208" i="2"/>
  <c r="K207" i="2"/>
  <c r="AR207" i="2"/>
  <c r="AQ207" i="2"/>
  <c r="X253" i="2" l="1"/>
  <c r="L207" i="2"/>
  <c r="AK207" i="2"/>
  <c r="AB207" i="2"/>
  <c r="AC253" i="2"/>
  <c r="AP208" i="2"/>
  <c r="AN208" i="2"/>
  <c r="O207" i="2" l="1"/>
  <c r="Z253" i="2"/>
  <c r="V207" i="2"/>
  <c r="P207" i="2"/>
  <c r="AO208" i="2"/>
  <c r="H208" i="2" s="1"/>
  <c r="E208" i="2"/>
  <c r="D209" i="2"/>
  <c r="W254" i="2" l="1"/>
  <c r="AI208" i="2"/>
  <c r="J208" i="2"/>
  <c r="U207" i="2"/>
  <c r="AL208" i="2"/>
  <c r="M208" i="2" l="1"/>
  <c r="N208" i="2"/>
  <c r="I208" i="2"/>
  <c r="AM209" i="2"/>
  <c r="K208" i="2"/>
  <c r="Y254" i="2"/>
  <c r="AJ254" i="2"/>
  <c r="AR208" i="2"/>
  <c r="AQ208" i="2"/>
  <c r="X254" i="2" l="1"/>
  <c r="L208" i="2"/>
  <c r="AK208" i="2"/>
  <c r="AB208" i="2"/>
  <c r="AC254" i="2"/>
  <c r="AP209" i="2"/>
  <c r="AN209" i="2"/>
  <c r="O208" i="2" l="1"/>
  <c r="Z254" i="2"/>
  <c r="V208" i="2"/>
  <c r="P208" i="2"/>
  <c r="AO209" i="2"/>
  <c r="W255" i="2" l="1"/>
  <c r="H209" i="2"/>
  <c r="U208" i="2"/>
  <c r="E209" i="2"/>
  <c r="D210" i="2"/>
  <c r="AI209" i="2"/>
  <c r="J209" i="2"/>
  <c r="Y255" i="2"/>
  <c r="AJ255" i="2"/>
  <c r="AL209" i="2"/>
  <c r="X255" i="2" l="1"/>
  <c r="M209" i="2"/>
  <c r="N209" i="2"/>
  <c r="I209" i="2"/>
  <c r="AM210" i="2"/>
  <c r="K209" i="2"/>
  <c r="AC255" i="2"/>
  <c r="AR209" i="2"/>
  <c r="AQ209" i="2"/>
  <c r="Z255" i="2" l="1"/>
  <c r="L209" i="2"/>
  <c r="AB209" i="2"/>
  <c r="AK209" i="2"/>
  <c r="AP210" i="2"/>
  <c r="AN210" i="2"/>
  <c r="O209" i="2" l="1"/>
  <c r="W256" i="2"/>
  <c r="V209" i="2"/>
  <c r="AO210" i="2"/>
  <c r="P209" i="2"/>
  <c r="H210" i="2"/>
  <c r="E210" i="2"/>
  <c r="D211" i="2"/>
  <c r="U209" i="2"/>
  <c r="AI210" i="2"/>
  <c r="AJ256" i="2"/>
  <c r="J210" i="2"/>
  <c r="Y256" i="2"/>
  <c r="AL210" i="2"/>
  <c r="X256" i="2" l="1"/>
  <c r="Z256" i="2" s="1"/>
  <c r="M210" i="2"/>
  <c r="N210" i="2"/>
  <c r="I210" i="2"/>
  <c r="AM211" i="2"/>
  <c r="K210" i="2"/>
  <c r="AC256" i="2"/>
  <c r="AR210" i="2"/>
  <c r="AQ210" i="2"/>
  <c r="W257" i="2" l="1"/>
  <c r="L210" i="2"/>
  <c r="AK210" i="2"/>
  <c r="AB210" i="2"/>
  <c r="AP211" i="2"/>
  <c r="AN211" i="2"/>
  <c r="O210" i="2" l="1"/>
  <c r="V210" i="2"/>
  <c r="AO211" i="2"/>
  <c r="P210" i="2"/>
  <c r="AJ257" i="2"/>
  <c r="H211" i="2"/>
  <c r="Y257" i="2"/>
  <c r="E211" i="2"/>
  <c r="D212" i="2"/>
  <c r="X257" i="2" l="1"/>
  <c r="Z257" i="2" s="1"/>
  <c r="AI211" i="2"/>
  <c r="J211" i="2"/>
  <c r="U210" i="2"/>
  <c r="AL211" i="2"/>
  <c r="M211" i="2" l="1"/>
  <c r="N211" i="2"/>
  <c r="I211" i="2"/>
  <c r="W258" i="2"/>
  <c r="AM212" i="2"/>
  <c r="K211" i="2"/>
  <c r="AC257" i="2"/>
  <c r="AR211" i="2"/>
  <c r="AQ211" i="2"/>
  <c r="L211" i="2"/>
  <c r="AJ258" i="2"/>
  <c r="AB211" i="2"/>
  <c r="AK211" i="2"/>
  <c r="Y258" i="2"/>
  <c r="AP212" i="2"/>
  <c r="AN212" i="2"/>
  <c r="X258" i="2" l="1"/>
  <c r="Z258" i="2" s="1"/>
  <c r="O211" i="2"/>
  <c r="P211" i="2"/>
  <c r="V211" i="2"/>
  <c r="AO212" i="2"/>
  <c r="H212" i="2" s="1"/>
  <c r="E212" i="2"/>
  <c r="D213" i="2"/>
  <c r="W259" i="2" l="1"/>
  <c r="J212" i="2"/>
  <c r="U211" i="2"/>
  <c r="AI212" i="2"/>
  <c r="AC258" i="2"/>
  <c r="AL212" i="2"/>
  <c r="M212" i="2" l="1"/>
  <c r="N212" i="2"/>
  <c r="I212" i="2"/>
  <c r="AM213" i="2"/>
  <c r="K212" i="2"/>
  <c r="Y259" i="2"/>
  <c r="AJ259" i="2"/>
  <c r="AR212" i="2"/>
  <c r="AQ212" i="2"/>
  <c r="X259" i="2" l="1"/>
  <c r="Z259" i="2" s="1"/>
  <c r="AK212" i="2"/>
  <c r="L212" i="2"/>
  <c r="AB212" i="2"/>
  <c r="AP213" i="2"/>
  <c r="AN213" i="2"/>
  <c r="O212" i="2" l="1"/>
  <c r="W260" i="2"/>
  <c r="V212" i="2"/>
  <c r="AC259" i="2"/>
  <c r="P212" i="2"/>
  <c r="AO213" i="2"/>
  <c r="H213" i="2"/>
  <c r="AJ260" i="2"/>
  <c r="U212" i="2"/>
  <c r="Y260" i="2"/>
  <c r="E213" i="2"/>
  <c r="D214" i="2"/>
  <c r="X260" i="2" l="1"/>
  <c r="Z260" i="2" s="1"/>
  <c r="J213" i="2"/>
  <c r="AI213" i="2"/>
  <c r="AL213" i="2"/>
  <c r="M213" i="2" l="1"/>
  <c r="N213" i="2"/>
  <c r="I213" i="2"/>
  <c r="W261" i="2"/>
  <c r="AM214" i="2"/>
  <c r="K213" i="2"/>
  <c r="AC260" i="2"/>
  <c r="AR213" i="2"/>
  <c r="AQ213" i="2"/>
  <c r="L213" i="2"/>
  <c r="AK213" i="2"/>
  <c r="AB213" i="2"/>
  <c r="AJ261" i="2"/>
  <c r="Y261" i="2"/>
  <c r="AP214" i="2"/>
  <c r="AN214" i="2"/>
  <c r="X261" i="2" l="1"/>
  <c r="Z261" i="2" s="1"/>
  <c r="O213" i="2"/>
  <c r="P213" i="2"/>
  <c r="AO214" i="2"/>
  <c r="H214" i="2" s="1"/>
  <c r="V213" i="2"/>
  <c r="E214" i="2"/>
  <c r="D215" i="2"/>
  <c r="W262" i="2" l="1"/>
  <c r="U213" i="2"/>
  <c r="J214" i="2"/>
  <c r="AI214" i="2"/>
  <c r="AC261" i="2"/>
  <c r="AL214" i="2"/>
  <c r="M214" i="2" l="1"/>
  <c r="N214" i="2"/>
  <c r="I214" i="2"/>
  <c r="AM215" i="2"/>
  <c r="K214" i="2"/>
  <c r="Y262" i="2"/>
  <c r="AJ262" i="2"/>
  <c r="AR214" i="2"/>
  <c r="AQ214" i="2"/>
  <c r="X262" i="2" l="1"/>
  <c r="Z262" i="2" s="1"/>
  <c r="L214" i="2"/>
  <c r="AK214" i="2"/>
  <c r="AB214" i="2"/>
  <c r="AP215" i="2"/>
  <c r="AN215" i="2"/>
  <c r="O214" i="2" l="1"/>
  <c r="W263" i="2"/>
  <c r="V214" i="2"/>
  <c r="AO215" i="2"/>
  <c r="P214" i="2"/>
  <c r="H215" i="2"/>
  <c r="AC262" i="2"/>
  <c r="E215" i="2"/>
  <c r="D216" i="2"/>
  <c r="J215" i="2"/>
  <c r="AI215" i="2"/>
  <c r="Y263" i="2"/>
  <c r="U214" i="2"/>
  <c r="AJ263" i="2"/>
  <c r="AL215" i="2"/>
  <c r="X263" i="2" l="1"/>
  <c r="Z263" i="2" s="1"/>
  <c r="M215" i="2"/>
  <c r="N215" i="2"/>
  <c r="I215" i="2"/>
  <c r="AM216" i="2"/>
  <c r="K215" i="2"/>
  <c r="AR215" i="2"/>
  <c r="AQ215" i="2"/>
  <c r="W264" i="2" l="1"/>
  <c r="L215" i="2"/>
  <c r="AK215" i="2"/>
  <c r="AB215" i="2"/>
  <c r="AC263" i="2"/>
  <c r="AP216" i="2"/>
  <c r="AN216" i="2"/>
  <c r="O215" i="2" l="1"/>
  <c r="V215" i="2"/>
  <c r="AO216" i="2"/>
  <c r="H216" i="2" s="1"/>
  <c r="P215" i="2"/>
  <c r="AJ264" i="2"/>
  <c r="Y264" i="2"/>
  <c r="E216" i="2"/>
  <c r="D217" i="2"/>
  <c r="X264" i="2" l="1"/>
  <c r="Z264" i="2" s="1"/>
  <c r="AI216" i="2"/>
  <c r="J216" i="2"/>
  <c r="U215" i="2"/>
  <c r="AL216" i="2"/>
  <c r="M216" i="2" l="1"/>
  <c r="N216" i="2"/>
  <c r="I216" i="2"/>
  <c r="W265" i="2"/>
  <c r="AM217" i="2"/>
  <c r="K216" i="2"/>
  <c r="AC264" i="2"/>
  <c r="AR216" i="2"/>
  <c r="AQ216" i="2"/>
  <c r="L216" i="2"/>
  <c r="Y265" i="2"/>
  <c r="AB216" i="2"/>
  <c r="AK216" i="2"/>
  <c r="AJ265" i="2"/>
  <c r="AP217" i="2"/>
  <c r="AN217" i="2"/>
  <c r="X265" i="2" l="1"/>
  <c r="Z265" i="2" s="1"/>
  <c r="O216" i="2"/>
  <c r="V216" i="2"/>
  <c r="AO217" i="2"/>
  <c r="P216" i="2"/>
  <c r="H217" i="2"/>
  <c r="E217" i="2"/>
  <c r="D218" i="2"/>
  <c r="W266" i="2" l="1"/>
  <c r="U216" i="2"/>
  <c r="J217" i="2"/>
  <c r="AI217" i="2"/>
  <c r="AC265" i="2"/>
  <c r="AL217" i="2"/>
  <c r="M217" i="2" l="1"/>
  <c r="N217" i="2"/>
  <c r="I217" i="2"/>
  <c r="AM218" i="2"/>
  <c r="K217" i="2"/>
  <c r="Y266" i="2"/>
  <c r="AJ266" i="2"/>
  <c r="AR217" i="2"/>
  <c r="AQ217" i="2"/>
  <c r="X266" i="2" l="1"/>
  <c r="Z266" i="2" s="1"/>
  <c r="AB217" i="2"/>
  <c r="L217" i="2"/>
  <c r="AK217" i="2"/>
  <c r="AP218" i="2"/>
  <c r="AN218" i="2"/>
  <c r="O217" i="2" l="1"/>
  <c r="W267" i="2"/>
  <c r="V217" i="2"/>
  <c r="AO218" i="2"/>
  <c r="H218" i="2" s="1"/>
  <c r="P217" i="2"/>
  <c r="AC266" i="2"/>
  <c r="E218" i="2"/>
  <c r="D219" i="2"/>
  <c r="U217" i="2"/>
  <c r="J218" i="2"/>
  <c r="AI218" i="2"/>
  <c r="AJ267" i="2"/>
  <c r="Y267" i="2"/>
  <c r="AL218" i="2"/>
  <c r="X267" i="2" l="1"/>
  <c r="Z267" i="2" s="1"/>
  <c r="M218" i="2"/>
  <c r="N218" i="2"/>
  <c r="I218" i="2"/>
  <c r="AM219" i="2"/>
  <c r="K218" i="2"/>
  <c r="AR218" i="2"/>
  <c r="AQ218" i="2"/>
  <c r="W268" i="2" l="1"/>
  <c r="L218" i="2"/>
  <c r="AK218" i="2"/>
  <c r="AB218" i="2"/>
  <c r="AC267" i="2"/>
  <c r="AP219" i="2"/>
  <c r="AN219" i="2"/>
  <c r="O218" i="2" l="1"/>
  <c r="V218" i="2"/>
  <c r="P218" i="2"/>
  <c r="AJ268" i="2"/>
  <c r="AO219" i="2"/>
  <c r="H219" i="2" s="1"/>
  <c r="Y268" i="2"/>
  <c r="E219" i="2"/>
  <c r="D220" i="2"/>
  <c r="X268" i="2" l="1"/>
  <c r="Z268" i="2" s="1"/>
  <c r="U218" i="2"/>
  <c r="AI219" i="2"/>
  <c r="AC268" i="2"/>
  <c r="J219" i="2"/>
  <c r="AL219" i="2"/>
  <c r="M219" i="2" l="1"/>
  <c r="N219" i="2"/>
  <c r="I219" i="2"/>
  <c r="W269" i="2"/>
  <c r="AM220" i="2"/>
  <c r="K219" i="2"/>
  <c r="AR219" i="2"/>
  <c r="AQ219" i="2"/>
  <c r="L219" i="2"/>
  <c r="Y269" i="2"/>
  <c r="AK219" i="2"/>
  <c r="AB219" i="2"/>
  <c r="AJ269" i="2"/>
  <c r="AP220" i="2"/>
  <c r="AN220" i="2"/>
  <c r="X269" i="2" l="1"/>
  <c r="Z269" i="2" s="1"/>
  <c r="O219" i="2"/>
  <c r="V219" i="2"/>
  <c r="AO220" i="2"/>
  <c r="P219" i="2"/>
  <c r="H220" i="2"/>
  <c r="E220" i="2"/>
  <c r="D221" i="2"/>
  <c r="W270" i="2" l="1"/>
  <c r="AC269" i="2"/>
  <c r="AI220" i="2"/>
  <c r="J220" i="2"/>
  <c r="U219" i="2"/>
  <c r="AL220" i="2"/>
  <c r="M220" i="2" l="1"/>
  <c r="N220" i="2"/>
  <c r="I220" i="2"/>
  <c r="AM221" i="2"/>
  <c r="K220" i="2"/>
  <c r="Y270" i="2"/>
  <c r="AJ270" i="2"/>
  <c r="AR220" i="2"/>
  <c r="AQ220" i="2"/>
  <c r="X270" i="2" l="1"/>
  <c r="Z270" i="2" s="1"/>
  <c r="L220" i="2"/>
  <c r="AK220" i="2"/>
  <c r="AB220" i="2"/>
  <c r="AP221" i="2"/>
  <c r="AN221" i="2"/>
  <c r="O220" i="2" l="1"/>
  <c r="W271" i="2"/>
  <c r="V220" i="2"/>
  <c r="AO221" i="2"/>
  <c r="H221" i="2" s="1"/>
  <c r="P220" i="2"/>
  <c r="AC270" i="2"/>
  <c r="E221" i="2"/>
  <c r="D222" i="2"/>
  <c r="AI221" i="2"/>
  <c r="U220" i="2"/>
  <c r="J221" i="2"/>
  <c r="AJ271" i="2"/>
  <c r="Y271" i="2"/>
  <c r="AL221" i="2"/>
  <c r="X271" i="2" l="1"/>
  <c r="Z271" i="2" s="1"/>
  <c r="M221" i="2"/>
  <c r="N221" i="2"/>
  <c r="I221" i="2"/>
  <c r="AM222" i="2"/>
  <c r="K221" i="2"/>
  <c r="AR221" i="2"/>
  <c r="AQ221" i="2"/>
  <c r="W272" i="2" l="1"/>
  <c r="L221" i="2"/>
  <c r="AB221" i="2"/>
  <c r="AK221" i="2"/>
  <c r="AC271" i="2"/>
  <c r="AP222" i="2"/>
  <c r="AN222" i="2"/>
  <c r="O221" i="2" l="1"/>
  <c r="V221" i="2"/>
  <c r="P221" i="2"/>
  <c r="AJ272" i="2"/>
  <c r="AO222" i="2"/>
  <c r="H222" i="2" s="1"/>
  <c r="Y272" i="2"/>
  <c r="E222" i="2"/>
  <c r="D223" i="2"/>
  <c r="X272" i="2" l="1"/>
  <c r="Z272" i="2" s="1"/>
  <c r="J222" i="2"/>
  <c r="AI222" i="2"/>
  <c r="AC272" i="2"/>
  <c r="U221" i="2"/>
  <c r="AL222" i="2"/>
  <c r="M222" i="2" l="1"/>
  <c r="N222" i="2"/>
  <c r="I222" i="2"/>
  <c r="W273" i="2"/>
  <c r="AM223" i="2"/>
  <c r="K222" i="2"/>
  <c r="AR222" i="2"/>
  <c r="AQ222" i="2"/>
  <c r="L222" i="2"/>
  <c r="AJ273" i="2"/>
  <c r="AB222" i="2"/>
  <c r="AK222" i="2"/>
  <c r="Y273" i="2"/>
  <c r="AP223" i="2"/>
  <c r="AN223" i="2"/>
  <c r="X273" i="2" l="1"/>
  <c r="Z273" i="2" s="1"/>
  <c r="O222" i="2"/>
  <c r="V222" i="2"/>
  <c r="P222" i="2"/>
  <c r="AO223" i="2"/>
  <c r="H223" i="2" s="1"/>
  <c r="E223" i="2"/>
  <c r="D224" i="2"/>
  <c r="W274" i="2" l="1"/>
  <c r="U222" i="2"/>
  <c r="J223" i="2"/>
  <c r="AI223" i="2"/>
  <c r="AC273" i="2"/>
  <c r="AL223" i="2"/>
  <c r="M223" i="2" l="1"/>
  <c r="N223" i="2"/>
  <c r="I223" i="2"/>
  <c r="AJ274" i="2"/>
  <c r="AM224" i="2"/>
  <c r="K223" i="2"/>
  <c r="Y274" i="2"/>
  <c r="AR223" i="2"/>
  <c r="AQ223" i="2"/>
  <c r="X274" i="2" l="1"/>
  <c r="Z274" i="2" s="1"/>
  <c r="L223" i="2"/>
  <c r="AK223" i="2"/>
  <c r="AB223" i="2"/>
  <c r="AC274" i="2"/>
  <c r="AP224" i="2"/>
  <c r="AN224" i="2"/>
  <c r="O223" i="2" l="1"/>
  <c r="W275" i="2"/>
  <c r="V223" i="2"/>
  <c r="AO224" i="2"/>
  <c r="P223" i="2"/>
  <c r="H224" i="2"/>
  <c r="E224" i="2"/>
  <c r="D225" i="2"/>
  <c r="U223" i="2"/>
  <c r="AI224" i="2"/>
  <c r="J224" i="2"/>
  <c r="AJ275" i="2"/>
  <c r="Y275" i="2"/>
  <c r="AL224" i="2"/>
  <c r="X275" i="2" l="1"/>
  <c r="Z275" i="2" s="1"/>
  <c r="M224" i="2"/>
  <c r="N224" i="2"/>
  <c r="I224" i="2"/>
  <c r="AM225" i="2"/>
  <c r="K224" i="2"/>
  <c r="AR224" i="2"/>
  <c r="AQ224" i="2"/>
  <c r="W276" i="2" l="1"/>
  <c r="L224" i="2"/>
  <c r="AB224" i="2"/>
  <c r="AC275" i="2"/>
  <c r="AK224" i="2"/>
  <c r="AP225" i="2"/>
  <c r="AN225" i="2"/>
  <c r="O224" i="2" l="1"/>
  <c r="V224" i="2"/>
  <c r="P224" i="2"/>
  <c r="AO225" i="2"/>
  <c r="H225" i="2"/>
  <c r="AJ276" i="2"/>
  <c r="Y276" i="2"/>
  <c r="E225" i="2"/>
  <c r="D226" i="2"/>
  <c r="X276" i="2" l="1"/>
  <c r="Z276" i="2" s="1"/>
  <c r="AI225" i="2"/>
  <c r="J225" i="2"/>
  <c r="U224" i="2"/>
  <c r="AL225" i="2"/>
  <c r="M225" i="2" l="1"/>
  <c r="N225" i="2"/>
  <c r="I225" i="2"/>
  <c r="W277" i="2"/>
  <c r="AC276" i="2"/>
  <c r="AM226" i="2"/>
  <c r="K225" i="2"/>
  <c r="AR225" i="2"/>
  <c r="AQ225" i="2"/>
  <c r="L225" i="2"/>
  <c r="AB225" i="2"/>
  <c r="Y277" i="2"/>
  <c r="AK225" i="2"/>
  <c r="AJ277" i="2"/>
  <c r="AP226" i="2"/>
  <c r="AN226" i="2"/>
  <c r="X277" i="2" l="1"/>
  <c r="Z277" i="2" s="1"/>
  <c r="O225" i="2"/>
  <c r="V225" i="2"/>
  <c r="AO226" i="2"/>
  <c r="P225" i="2"/>
  <c r="W278" i="2" l="1"/>
  <c r="H226" i="2"/>
  <c r="U225" i="2"/>
  <c r="AC277" i="2"/>
  <c r="E226" i="2"/>
  <c r="D227" i="2"/>
  <c r="AJ278" i="2"/>
  <c r="AI226" i="2"/>
  <c r="J226" i="2"/>
  <c r="Y278" i="2"/>
  <c r="AL226" i="2"/>
  <c r="X278" i="2" l="1"/>
  <c r="Z278" i="2" s="1"/>
  <c r="M226" i="2"/>
  <c r="N226" i="2"/>
  <c r="I226" i="2"/>
  <c r="AM227" i="2"/>
  <c r="K226" i="2"/>
  <c r="AC278" i="2"/>
  <c r="AR226" i="2"/>
  <c r="AQ226" i="2"/>
  <c r="W279" i="2" l="1"/>
  <c r="L226" i="2"/>
  <c r="AB226" i="2"/>
  <c r="AK226" i="2"/>
  <c r="AP227" i="2"/>
  <c r="AN227" i="2"/>
  <c r="O226" i="2" l="1"/>
  <c r="V226" i="2"/>
  <c r="AO227" i="2"/>
  <c r="P226" i="2"/>
  <c r="H227" i="2"/>
  <c r="Y279" i="2"/>
  <c r="AJ279" i="2"/>
  <c r="E227" i="2"/>
  <c r="D228" i="2"/>
  <c r="X279" i="2" l="1"/>
  <c r="Z279" i="2" s="1"/>
  <c r="J227" i="2"/>
  <c r="AI227" i="2"/>
  <c r="U226" i="2"/>
  <c r="AL227" i="2"/>
  <c r="M227" i="2" l="1"/>
  <c r="N227" i="2"/>
  <c r="I227" i="2"/>
  <c r="W280" i="2"/>
  <c r="AC279" i="2"/>
  <c r="AM228" i="2"/>
  <c r="K227" i="2"/>
  <c r="AR227" i="2"/>
  <c r="AQ227" i="2"/>
  <c r="L227" i="2"/>
  <c r="AB227" i="2"/>
  <c r="Y280" i="2"/>
  <c r="AK227" i="2"/>
  <c r="AJ280" i="2"/>
  <c r="AP228" i="2"/>
  <c r="AN228" i="2"/>
  <c r="X280" i="2" l="1"/>
  <c r="Z280" i="2" s="1"/>
  <c r="O227" i="2"/>
  <c r="V227" i="2"/>
  <c r="AO228" i="2"/>
  <c r="P227" i="2"/>
  <c r="H228" i="2"/>
  <c r="E228" i="2"/>
  <c r="D229" i="2"/>
  <c r="W281" i="2" l="1"/>
  <c r="AC280" i="2"/>
  <c r="AI228" i="2"/>
  <c r="U227" i="2"/>
  <c r="J228" i="2"/>
  <c r="AL228" i="2"/>
  <c r="M228" i="2" l="1"/>
  <c r="N228" i="2"/>
  <c r="I228" i="2"/>
  <c r="Y281" i="2"/>
  <c r="AM229" i="2"/>
  <c r="K228" i="2"/>
  <c r="AJ281" i="2"/>
  <c r="AR228" i="2"/>
  <c r="AQ228" i="2"/>
  <c r="X281" i="2" l="1"/>
  <c r="Z281" i="2" s="1"/>
  <c r="AB228" i="2"/>
  <c r="L228" i="2"/>
  <c r="AK228" i="2"/>
  <c r="AP229" i="2"/>
  <c r="AN229" i="2"/>
  <c r="O228" i="2" l="1"/>
  <c r="W282" i="2"/>
  <c r="V228" i="2"/>
  <c r="AO229" i="2"/>
  <c r="P228" i="2"/>
  <c r="H229" i="2"/>
  <c r="AC281" i="2"/>
  <c r="E229" i="2"/>
  <c r="D230" i="2"/>
  <c r="J229" i="2"/>
  <c r="AI229" i="2"/>
  <c r="AJ282" i="2"/>
  <c r="U228" i="2"/>
  <c r="Y282" i="2"/>
  <c r="AL229" i="2"/>
  <c r="X282" i="2" l="1"/>
  <c r="Z282" i="2" s="1"/>
  <c r="M229" i="2"/>
  <c r="N229" i="2"/>
  <c r="I229" i="2"/>
  <c r="AM230" i="2"/>
  <c r="K229" i="2"/>
  <c r="AR229" i="2"/>
  <c r="AQ229" i="2"/>
  <c r="W283" i="2" l="1"/>
  <c r="L229" i="2"/>
  <c r="AK229" i="2"/>
  <c r="AB229" i="2"/>
  <c r="AC282" i="2"/>
  <c r="AP230" i="2"/>
  <c r="AN230" i="2"/>
  <c r="O229" i="2" l="1"/>
  <c r="V229" i="2"/>
  <c r="AJ283" i="2"/>
  <c r="P229" i="2"/>
  <c r="AO230" i="2"/>
  <c r="Y283" i="2"/>
  <c r="X283" i="2" l="1"/>
  <c r="Z283" i="2" s="1"/>
  <c r="H230" i="2"/>
  <c r="U229" i="2"/>
  <c r="E230" i="2"/>
  <c r="D231" i="2"/>
  <c r="W284" i="2" l="1"/>
  <c r="J230" i="2"/>
  <c r="AI230" i="2"/>
  <c r="AC283" i="2"/>
  <c r="AL230" i="2"/>
  <c r="M230" i="2" l="1"/>
  <c r="N230" i="2"/>
  <c r="I230" i="2"/>
  <c r="AJ284" i="2"/>
  <c r="AM231" i="2"/>
  <c r="K230" i="2"/>
  <c r="Y284" i="2"/>
  <c r="AR230" i="2"/>
  <c r="AQ230" i="2"/>
  <c r="X284" i="2" l="1"/>
  <c r="Z284" i="2" s="1"/>
  <c r="L230" i="2"/>
  <c r="AK230" i="2"/>
  <c r="AB230" i="2"/>
  <c r="AP231" i="2"/>
  <c r="AN231" i="2"/>
  <c r="O230" i="2" l="1"/>
  <c r="W285" i="2"/>
  <c r="V230" i="2"/>
  <c r="AC284" i="2"/>
  <c r="AO231" i="2"/>
  <c r="P230" i="2"/>
  <c r="H231" i="2"/>
  <c r="U230" i="2"/>
  <c r="AJ285" i="2"/>
  <c r="Y285" i="2"/>
  <c r="E231" i="2"/>
  <c r="D232" i="2"/>
  <c r="X285" i="2" l="1"/>
  <c r="Z285" i="2" s="1"/>
  <c r="J231" i="2"/>
  <c r="AI231" i="2"/>
  <c r="AL231" i="2"/>
  <c r="M231" i="2" l="1"/>
  <c r="N231" i="2"/>
  <c r="I231" i="2"/>
  <c r="W286" i="2"/>
  <c r="AM232" i="2"/>
  <c r="K231" i="2"/>
  <c r="AC285" i="2"/>
  <c r="AR231" i="2"/>
  <c r="AQ231" i="2"/>
  <c r="L231" i="2"/>
  <c r="AK231" i="2"/>
  <c r="AB231" i="2"/>
  <c r="Y286" i="2"/>
  <c r="AJ286" i="2"/>
  <c r="AP232" i="2"/>
  <c r="AN232" i="2"/>
  <c r="X286" i="2" l="1"/>
  <c r="Z286" i="2" s="1"/>
  <c r="O231" i="2"/>
  <c r="V231" i="2"/>
  <c r="P231" i="2"/>
  <c r="AO232" i="2"/>
  <c r="H232" i="2"/>
  <c r="E232" i="2"/>
  <c r="D233" i="2"/>
  <c r="W287" i="2" l="1"/>
  <c r="AI232" i="2"/>
  <c r="J232" i="2"/>
  <c r="U231" i="2"/>
  <c r="AC286" i="2"/>
  <c r="AL232" i="2"/>
  <c r="M232" i="2" l="1"/>
  <c r="N232" i="2"/>
  <c r="I232" i="2"/>
  <c r="AM233" i="2"/>
  <c r="K232" i="2"/>
  <c r="Y287" i="2"/>
  <c r="AJ287" i="2"/>
  <c r="AR232" i="2"/>
  <c r="AQ232" i="2"/>
  <c r="X287" i="2" l="1"/>
  <c r="Z287" i="2" s="1"/>
  <c r="L232" i="2"/>
  <c r="AK232" i="2"/>
  <c r="AB232" i="2"/>
  <c r="AP233" i="2"/>
  <c r="AN233" i="2"/>
  <c r="O232" i="2" l="1"/>
  <c r="W288" i="2"/>
  <c r="V232" i="2"/>
  <c r="AO233" i="2"/>
  <c r="P232" i="2"/>
  <c r="AC287" i="2"/>
  <c r="H233" i="2"/>
  <c r="Y288" i="2"/>
  <c r="U232" i="2"/>
  <c r="AJ288" i="2"/>
  <c r="E233" i="2"/>
  <c r="D234" i="2"/>
  <c r="X288" i="2" l="1"/>
  <c r="Z288" i="2" s="1"/>
  <c r="AI233" i="2"/>
  <c r="J233" i="2"/>
  <c r="AL233" i="2"/>
  <c r="M233" i="2" l="1"/>
  <c r="N233" i="2"/>
  <c r="I233" i="2"/>
  <c r="W289" i="2"/>
  <c r="AM234" i="2"/>
  <c r="K233" i="2"/>
  <c r="AC288" i="2"/>
  <c r="AR233" i="2"/>
  <c r="AQ233" i="2"/>
  <c r="L233" i="2"/>
  <c r="AK233" i="2"/>
  <c r="AJ289" i="2"/>
  <c r="AB233" i="2"/>
  <c r="Y289" i="2"/>
  <c r="AP234" i="2"/>
  <c r="AN234" i="2"/>
  <c r="X289" i="2" l="1"/>
  <c r="Z289" i="2" s="1"/>
  <c r="O233" i="2"/>
  <c r="P233" i="2"/>
  <c r="V233" i="2"/>
  <c r="AO234" i="2"/>
  <c r="W290" i="2" l="1"/>
  <c r="H234" i="2"/>
  <c r="U233" i="2"/>
  <c r="AC289" i="2"/>
  <c r="E234" i="2"/>
  <c r="D235" i="2"/>
  <c r="AI234" i="2"/>
  <c r="Y290" i="2"/>
  <c r="J234" i="2"/>
  <c r="AJ290" i="2"/>
  <c r="AL234" i="2"/>
  <c r="M234" i="2" l="1"/>
  <c r="N234" i="2"/>
  <c r="I234" i="2"/>
  <c r="X290" i="2"/>
  <c r="Z290" i="2" s="1"/>
  <c r="AM235" i="2"/>
  <c r="K234" i="2"/>
  <c r="AR234" i="2"/>
  <c r="AQ234" i="2"/>
  <c r="W291" i="2" l="1"/>
  <c r="L234" i="2"/>
  <c r="AB234" i="2"/>
  <c r="AK234" i="2"/>
  <c r="AC290" i="2"/>
  <c r="AP235" i="2"/>
  <c r="AN235" i="2"/>
  <c r="O234" i="2" l="1"/>
  <c r="V234" i="2"/>
  <c r="P234" i="2"/>
  <c r="AO235" i="2"/>
  <c r="H235" i="2"/>
  <c r="Y291" i="2"/>
  <c r="AJ291" i="2"/>
  <c r="E235" i="2"/>
  <c r="D236" i="2"/>
  <c r="X291" i="2" l="1"/>
  <c r="Z291" i="2" s="1"/>
  <c r="AI235" i="2"/>
  <c r="U234" i="2"/>
  <c r="J235" i="2"/>
  <c r="AL235" i="2"/>
  <c r="M235" i="2" l="1"/>
  <c r="N235" i="2"/>
  <c r="I235" i="2"/>
  <c r="W292" i="2"/>
  <c r="AM236" i="2"/>
  <c r="K235" i="2"/>
  <c r="AC291" i="2"/>
  <c r="AR235" i="2"/>
  <c r="AQ235" i="2"/>
  <c r="L235" i="2"/>
  <c r="AJ292" i="2"/>
  <c r="AB235" i="2"/>
  <c r="Y292" i="2"/>
  <c r="AK235" i="2"/>
  <c r="AP236" i="2"/>
  <c r="AN236" i="2"/>
  <c r="X292" i="2" l="1"/>
  <c r="Z292" i="2" s="1"/>
  <c r="O235" i="2"/>
  <c r="AO236" i="2"/>
  <c r="H236" i="2" s="1"/>
  <c r="V235" i="2"/>
  <c r="P235" i="2"/>
  <c r="E236" i="2"/>
  <c r="D237" i="2"/>
  <c r="W293" i="2" l="1"/>
  <c r="AC292" i="2"/>
  <c r="U235" i="2"/>
  <c r="AI236" i="2"/>
  <c r="J236" i="2"/>
  <c r="AL236" i="2"/>
  <c r="M236" i="2" l="1"/>
  <c r="N236" i="2"/>
  <c r="I236" i="2"/>
  <c r="AJ293" i="2"/>
  <c r="AM237" i="2"/>
  <c r="K236" i="2"/>
  <c r="Y293" i="2"/>
  <c r="AR236" i="2"/>
  <c r="AQ236" i="2"/>
  <c r="X293" i="2" l="1"/>
  <c r="Z293" i="2" s="1"/>
  <c r="L236" i="2"/>
  <c r="AK236" i="2"/>
  <c r="AB236" i="2"/>
  <c r="AP237" i="2"/>
  <c r="AN237" i="2"/>
  <c r="O236" i="2" l="1"/>
  <c r="W294" i="2"/>
  <c r="V236" i="2"/>
  <c r="AO237" i="2"/>
  <c r="P236" i="2"/>
  <c r="AC293" i="2"/>
  <c r="H237" i="2"/>
  <c r="Y294" i="2"/>
  <c r="U236" i="2"/>
  <c r="AJ294" i="2"/>
  <c r="E237" i="2"/>
  <c r="D238" i="2"/>
  <c r="X294" i="2" l="1"/>
  <c r="Z294" i="2" s="1"/>
  <c r="AI237" i="2"/>
  <c r="J237" i="2"/>
  <c r="AL237" i="2"/>
  <c r="M237" i="2" l="1"/>
  <c r="N237" i="2"/>
  <c r="I237" i="2"/>
  <c r="W295" i="2"/>
  <c r="AM238" i="2"/>
  <c r="K237" i="2"/>
  <c r="AC294" i="2"/>
  <c r="AR237" i="2"/>
  <c r="AQ237" i="2"/>
  <c r="L237" i="2"/>
  <c r="AJ295" i="2"/>
  <c r="AB237" i="2"/>
  <c r="AK237" i="2"/>
  <c r="Y295" i="2"/>
  <c r="AP238" i="2"/>
  <c r="AN238" i="2"/>
  <c r="X295" i="2" l="1"/>
  <c r="Z295" i="2" s="1"/>
  <c r="O237" i="2"/>
  <c r="P237" i="2"/>
  <c r="V237" i="2"/>
  <c r="AO238" i="2"/>
  <c r="H238" i="2"/>
  <c r="E238" i="2"/>
  <c r="D239" i="2"/>
  <c r="W296" i="2" l="1"/>
  <c r="AI238" i="2"/>
  <c r="U237" i="2"/>
  <c r="J238" i="2"/>
  <c r="AC295" i="2"/>
  <c r="AL238" i="2"/>
  <c r="M238" i="2" l="1"/>
  <c r="N238" i="2"/>
  <c r="I238" i="2"/>
  <c r="AM239" i="2"/>
  <c r="K238" i="2"/>
  <c r="AJ296" i="2"/>
  <c r="Y296" i="2"/>
  <c r="AR238" i="2"/>
  <c r="AQ238" i="2"/>
  <c r="X296" i="2" l="1"/>
  <c r="Z296" i="2" s="1"/>
  <c r="L238" i="2"/>
  <c r="AB238" i="2"/>
  <c r="AK238" i="2"/>
  <c r="AP239" i="2"/>
  <c r="AN239" i="2"/>
  <c r="O238" i="2" l="1"/>
  <c r="W297" i="2"/>
  <c r="V238" i="2"/>
  <c r="AO239" i="2"/>
  <c r="P238" i="2"/>
  <c r="H239" i="2"/>
  <c r="AC296" i="2"/>
  <c r="E239" i="2"/>
  <c r="D240" i="2"/>
  <c r="U238" i="2"/>
  <c r="J239" i="2"/>
  <c r="AJ297" i="2"/>
  <c r="AI239" i="2"/>
  <c r="Y297" i="2"/>
  <c r="AL239" i="2"/>
  <c r="X297" i="2" l="1"/>
  <c r="Z297" i="2" s="1"/>
  <c r="M239" i="2"/>
  <c r="N239" i="2"/>
  <c r="I239" i="2"/>
  <c r="AC297" i="2"/>
  <c r="AM240" i="2"/>
  <c r="K239" i="2"/>
  <c r="AR239" i="2"/>
  <c r="AQ239" i="2"/>
  <c r="W298" i="2" l="1"/>
  <c r="L239" i="2"/>
  <c r="AB239" i="2"/>
  <c r="AK239" i="2"/>
  <c r="AP240" i="2"/>
  <c r="AN240" i="2"/>
  <c r="O239" i="2" l="1"/>
  <c r="V239" i="2"/>
  <c r="AO240" i="2"/>
  <c r="P239" i="2"/>
  <c r="AJ298" i="2"/>
  <c r="Y298" i="2"/>
  <c r="X298" i="2" l="1"/>
  <c r="Z298" i="2" s="1"/>
  <c r="H240" i="2"/>
  <c r="U239" i="2"/>
  <c r="E240" i="2"/>
  <c r="D241" i="2"/>
  <c r="W299" i="2" l="1"/>
  <c r="AI240" i="2"/>
  <c r="J240" i="2"/>
  <c r="AC298" i="2"/>
  <c r="AL240" i="2"/>
  <c r="M240" i="2" l="1"/>
  <c r="N240" i="2"/>
  <c r="I240" i="2"/>
  <c r="AM241" i="2"/>
  <c r="K240" i="2"/>
  <c r="Y299" i="2"/>
  <c r="AJ299" i="2"/>
  <c r="AR240" i="2"/>
  <c r="AQ240" i="2"/>
  <c r="X299" i="2" l="1"/>
  <c r="Z299" i="2" s="1"/>
  <c r="L240" i="2"/>
  <c r="AK240" i="2"/>
  <c r="AB240" i="2"/>
  <c r="AP241" i="2"/>
  <c r="AN241" i="2"/>
  <c r="O240" i="2" l="1"/>
  <c r="W300" i="2"/>
  <c r="V240" i="2"/>
  <c r="AO241" i="2"/>
  <c r="P240" i="2"/>
  <c r="AC299" i="2"/>
  <c r="H241" i="2"/>
  <c r="AJ300" i="2"/>
  <c r="U240" i="2"/>
  <c r="Y300" i="2"/>
  <c r="E241" i="2"/>
  <c r="D242" i="2"/>
  <c r="X300" i="2" l="1"/>
  <c r="Z300" i="2" s="1"/>
  <c r="J241" i="2"/>
  <c r="AI241" i="2"/>
  <c r="AL241" i="2"/>
  <c r="M241" i="2" l="1"/>
  <c r="N241" i="2"/>
  <c r="I241" i="2"/>
  <c r="W301" i="2"/>
  <c r="AM242" i="2"/>
  <c r="K241" i="2"/>
  <c r="AC300" i="2"/>
  <c r="AR241" i="2"/>
  <c r="AQ241" i="2"/>
  <c r="L241" i="2"/>
  <c r="AK241" i="2"/>
  <c r="AJ301" i="2"/>
  <c r="AB241" i="2"/>
  <c r="Y301" i="2"/>
  <c r="AP242" i="2"/>
  <c r="AN242" i="2"/>
  <c r="X301" i="2" l="1"/>
  <c r="Z301" i="2" s="1"/>
  <c r="O241" i="2"/>
  <c r="AO242" i="2"/>
  <c r="V241" i="2"/>
  <c r="P241" i="2"/>
  <c r="H242" i="2"/>
  <c r="E242" i="2"/>
  <c r="D243" i="2"/>
  <c r="W302" i="2" l="1"/>
  <c r="AI242" i="2"/>
  <c r="AC301" i="2"/>
  <c r="J242" i="2"/>
  <c r="U241" i="2"/>
  <c r="AL242" i="2"/>
  <c r="M242" i="2" l="1"/>
  <c r="N242" i="2"/>
  <c r="I242" i="2"/>
  <c r="AM243" i="2"/>
  <c r="K242" i="2"/>
  <c r="AJ302" i="2"/>
  <c r="Y302" i="2"/>
  <c r="AR242" i="2"/>
  <c r="AQ242" i="2"/>
  <c r="X302" i="2" l="1"/>
  <c r="Z302" i="2" s="1"/>
  <c r="AB242" i="2"/>
  <c r="L242" i="2"/>
  <c r="AK242" i="2"/>
  <c r="AP243" i="2"/>
  <c r="AN243" i="2"/>
  <c r="O242" i="2" l="1"/>
  <c r="W303" i="2"/>
  <c r="V242" i="2"/>
  <c r="AC302" i="2"/>
  <c r="AO243" i="2"/>
  <c r="H243" i="2" s="1"/>
  <c r="P242" i="2"/>
  <c r="E243" i="2"/>
  <c r="D244" i="2"/>
  <c r="AI243" i="2"/>
  <c r="U242" i="2"/>
  <c r="J243" i="2"/>
  <c r="Y303" i="2"/>
  <c r="AJ303" i="2"/>
  <c r="AL243" i="2"/>
  <c r="X303" i="2" l="1"/>
  <c r="Z303" i="2" s="1"/>
  <c r="M243" i="2"/>
  <c r="N243" i="2"/>
  <c r="I243" i="2"/>
  <c r="AM244" i="2"/>
  <c r="K243" i="2"/>
  <c r="AR243" i="2"/>
  <c r="AQ243" i="2"/>
  <c r="W304" i="2" l="1"/>
  <c r="L243" i="2"/>
  <c r="AB243" i="2"/>
  <c r="AK243" i="2"/>
  <c r="AC303" i="2"/>
  <c r="AP244" i="2"/>
  <c r="AN244" i="2"/>
  <c r="O243" i="2" l="1"/>
  <c r="V243" i="2"/>
  <c r="AO244" i="2"/>
  <c r="P243" i="2"/>
  <c r="H244" i="2"/>
  <c r="Y304" i="2"/>
  <c r="AJ304" i="2"/>
  <c r="E244" i="2"/>
  <c r="D245" i="2"/>
  <c r="X304" i="2" l="1"/>
  <c r="Z304" i="2" s="1"/>
  <c r="J244" i="2"/>
  <c r="AI244" i="2"/>
  <c r="U243" i="2"/>
  <c r="AL244" i="2"/>
  <c r="M244" i="2" l="1"/>
  <c r="N244" i="2"/>
  <c r="I244" i="2"/>
  <c r="W305" i="2"/>
  <c r="AM245" i="2"/>
  <c r="K244" i="2"/>
  <c r="AC304" i="2"/>
  <c r="AR244" i="2"/>
  <c r="AQ244" i="2"/>
  <c r="L244" i="2"/>
  <c r="AK244" i="2"/>
  <c r="AJ305" i="2"/>
  <c r="AB244" i="2"/>
  <c r="Y305" i="2"/>
  <c r="AP245" i="2"/>
  <c r="AN245" i="2"/>
  <c r="X305" i="2" l="1"/>
  <c r="Z305" i="2" s="1"/>
  <c r="O244" i="2"/>
  <c r="V244" i="2"/>
  <c r="AO245" i="2"/>
  <c r="H245" i="2" s="1"/>
  <c r="P244" i="2"/>
  <c r="E245" i="2"/>
  <c r="D246" i="2"/>
  <c r="W306" i="2" l="1"/>
  <c r="AI245" i="2"/>
  <c r="U244" i="2"/>
  <c r="J245" i="2"/>
  <c r="AC305" i="2"/>
  <c r="AL245" i="2"/>
  <c r="M245" i="2" l="1"/>
  <c r="N245" i="2"/>
  <c r="I245" i="2"/>
  <c r="AM246" i="2"/>
  <c r="K245" i="2"/>
  <c r="AJ306" i="2"/>
  <c r="Y306" i="2"/>
  <c r="AR245" i="2"/>
  <c r="AQ245" i="2"/>
  <c r="X306" i="2" l="1"/>
  <c r="Z306" i="2" s="1"/>
  <c r="AB245" i="2"/>
  <c r="L245" i="2"/>
  <c r="AK245" i="2"/>
  <c r="AP246" i="2"/>
  <c r="AN246" i="2"/>
  <c r="O245" i="2" l="1"/>
  <c r="W307" i="2"/>
  <c r="V245" i="2"/>
  <c r="P245" i="2"/>
  <c r="AO246" i="2"/>
  <c r="H246" i="2"/>
  <c r="AC306" i="2"/>
  <c r="E246" i="2"/>
  <c r="D247" i="2"/>
  <c r="AI246" i="2"/>
  <c r="Y307" i="2"/>
  <c r="J246" i="2"/>
  <c r="U245" i="2"/>
  <c r="AJ307" i="2"/>
  <c r="AL246" i="2"/>
  <c r="M246" i="2" l="1"/>
  <c r="N246" i="2"/>
  <c r="I246" i="2"/>
  <c r="X307" i="2"/>
  <c r="Z307" i="2" s="1"/>
  <c r="AM247" i="2"/>
  <c r="K246" i="2"/>
  <c r="AR246" i="2"/>
  <c r="AQ246" i="2"/>
  <c r="W308" i="2" l="1"/>
  <c r="L246" i="2"/>
  <c r="AC307" i="2"/>
  <c r="AK246" i="2"/>
  <c r="AB246" i="2"/>
  <c r="AP247" i="2"/>
  <c r="AN247" i="2"/>
  <c r="O246" i="2" l="1"/>
  <c r="V246" i="2"/>
  <c r="P246" i="2"/>
  <c r="AO247" i="2"/>
  <c r="AJ308" i="2"/>
  <c r="Y308" i="2"/>
  <c r="X308" i="2" l="1"/>
  <c r="Z308" i="2" s="1"/>
  <c r="H247" i="2"/>
  <c r="U246" i="2"/>
  <c r="E247" i="2"/>
  <c r="D248" i="2"/>
  <c r="W309" i="2" l="1"/>
  <c r="AI247" i="2"/>
  <c r="AC308" i="2"/>
  <c r="J247" i="2"/>
  <c r="AL247" i="2"/>
  <c r="M247" i="2" l="1"/>
  <c r="N247" i="2"/>
  <c r="I247" i="2"/>
  <c r="AM248" i="2"/>
  <c r="K247" i="2"/>
  <c r="Y309" i="2"/>
  <c r="AJ309" i="2"/>
  <c r="AR247" i="2"/>
  <c r="AQ247" i="2"/>
  <c r="X309" i="2" l="1"/>
  <c r="Z309" i="2" s="1"/>
  <c r="L247" i="2"/>
  <c r="AK247" i="2"/>
  <c r="AB247" i="2"/>
  <c r="AP248" i="2"/>
  <c r="AN248" i="2"/>
  <c r="O247" i="2" l="1"/>
  <c r="W310" i="2"/>
  <c r="V247" i="2"/>
  <c r="P247" i="2"/>
  <c r="AO248" i="2"/>
  <c r="AC309" i="2"/>
  <c r="H248" i="2"/>
  <c r="Y310" i="2"/>
  <c r="U247" i="2"/>
  <c r="AJ310" i="2"/>
  <c r="E248" i="2"/>
  <c r="D249" i="2"/>
  <c r="X310" i="2" l="1"/>
  <c r="Z310" i="2" s="1"/>
  <c r="AI248" i="2"/>
  <c r="J248" i="2"/>
  <c r="AL248" i="2"/>
  <c r="M248" i="2" l="1"/>
  <c r="N248" i="2"/>
  <c r="I248" i="2"/>
  <c r="W311" i="2"/>
  <c r="AM249" i="2"/>
  <c r="K248" i="2"/>
  <c r="AC310" i="2"/>
  <c r="AR248" i="2"/>
  <c r="AQ248" i="2"/>
  <c r="L248" i="2"/>
  <c r="AK248" i="2"/>
  <c r="AJ311" i="2"/>
  <c r="AB248" i="2"/>
  <c r="Y311" i="2"/>
  <c r="AP249" i="2"/>
  <c r="AN249" i="2"/>
  <c r="X311" i="2" l="1"/>
  <c r="Z311" i="2" s="1"/>
  <c r="O248" i="2"/>
  <c r="AO249" i="2"/>
  <c r="V248" i="2"/>
  <c r="P248" i="2"/>
  <c r="W312" i="2" l="1"/>
  <c r="U248" i="2"/>
  <c r="H249" i="2"/>
  <c r="AC311" i="2"/>
  <c r="E249" i="2"/>
  <c r="D250" i="2"/>
  <c r="Y312" i="2"/>
  <c r="AI249" i="2"/>
  <c r="J249" i="2"/>
  <c r="AJ312" i="2"/>
  <c r="AL249" i="2"/>
  <c r="M249" i="2" l="1"/>
  <c r="N249" i="2"/>
  <c r="I249" i="2"/>
  <c r="X312" i="2"/>
  <c r="Z312" i="2" s="1"/>
  <c r="AM250" i="2"/>
  <c r="K249" i="2"/>
  <c r="AR249" i="2"/>
  <c r="AQ249" i="2"/>
  <c r="W313" i="2" l="1"/>
  <c r="L249" i="2"/>
  <c r="AB249" i="2"/>
  <c r="AK249" i="2"/>
  <c r="AC312" i="2"/>
  <c r="AP250" i="2"/>
  <c r="AN250" i="2"/>
  <c r="O249" i="2" l="1"/>
  <c r="V249" i="2"/>
  <c r="P249" i="2"/>
  <c r="AO250" i="2"/>
  <c r="Y313" i="2"/>
  <c r="H250" i="2"/>
  <c r="AJ313" i="2"/>
  <c r="E250" i="2"/>
  <c r="D251" i="2"/>
  <c r="X313" i="2" l="1"/>
  <c r="Z313" i="2" s="1"/>
  <c r="J250" i="2"/>
  <c r="U249" i="2"/>
  <c r="AI250" i="2"/>
  <c r="AL250" i="2"/>
  <c r="M250" i="2" l="1"/>
  <c r="N250" i="2"/>
  <c r="I250" i="2"/>
  <c r="W314" i="2"/>
  <c r="AM251" i="2"/>
  <c r="K250" i="2"/>
  <c r="AC313" i="2"/>
  <c r="AR250" i="2"/>
  <c r="AQ250" i="2"/>
  <c r="L250" i="2"/>
  <c r="AK250" i="2"/>
  <c r="AB250" i="2"/>
  <c r="Y314" i="2"/>
  <c r="AJ314" i="2"/>
  <c r="AP251" i="2"/>
  <c r="AN251" i="2"/>
  <c r="X314" i="2" l="1"/>
  <c r="Z314" i="2" s="1"/>
  <c r="O250" i="2"/>
  <c r="V250" i="2"/>
  <c r="AO251" i="2"/>
  <c r="P250" i="2"/>
  <c r="W315" i="2" l="1"/>
  <c r="H251" i="2"/>
  <c r="AC314" i="2"/>
  <c r="U250" i="2"/>
  <c r="E251" i="2"/>
  <c r="D252" i="2"/>
  <c r="AJ315" i="2"/>
  <c r="AI251" i="2"/>
  <c r="J251" i="2"/>
  <c r="Y315" i="2"/>
  <c r="AL251" i="2"/>
  <c r="X315" i="2" l="1"/>
  <c r="Z315" i="2" s="1"/>
  <c r="M251" i="2"/>
  <c r="N251" i="2"/>
  <c r="I251" i="2"/>
  <c r="AC315" i="2"/>
  <c r="AM252" i="2"/>
  <c r="K251" i="2"/>
  <c r="AR251" i="2"/>
  <c r="AQ251" i="2"/>
  <c r="W316" i="2" l="1"/>
  <c r="L251" i="2"/>
  <c r="AK251" i="2"/>
  <c r="AB251" i="2"/>
  <c r="AP252" i="2"/>
  <c r="AN252" i="2"/>
  <c r="O251" i="2" l="1"/>
  <c r="V251" i="2"/>
  <c r="P251" i="2"/>
  <c r="AO252" i="2"/>
  <c r="Y316" i="2"/>
  <c r="H252" i="2"/>
  <c r="AJ316" i="2"/>
  <c r="E252" i="2"/>
  <c r="D253" i="2"/>
  <c r="X316" i="2" l="1"/>
  <c r="Z316" i="2" s="1"/>
  <c r="J252" i="2"/>
  <c r="AI252" i="2"/>
  <c r="U251" i="2"/>
  <c r="AL252" i="2"/>
  <c r="M252" i="2" l="1"/>
  <c r="N252" i="2"/>
  <c r="I252" i="2"/>
  <c r="W317" i="2"/>
  <c r="AM253" i="2"/>
  <c r="K252" i="2"/>
  <c r="AC316" i="2"/>
  <c r="AR252" i="2"/>
  <c r="AQ252" i="2"/>
  <c r="L252" i="2"/>
  <c r="AB252" i="2"/>
  <c r="AK252" i="2"/>
  <c r="Y317" i="2"/>
  <c r="AJ317" i="2"/>
  <c r="AP253" i="2"/>
  <c r="AN253" i="2"/>
  <c r="X317" i="2" l="1"/>
  <c r="Z317" i="2" s="1"/>
  <c r="O252" i="2"/>
  <c r="V252" i="2"/>
  <c r="P252" i="2"/>
  <c r="AO253" i="2"/>
  <c r="H253" i="2" s="1"/>
  <c r="E253" i="2"/>
  <c r="D254" i="2"/>
  <c r="W318" i="2" l="1"/>
  <c r="J253" i="2"/>
  <c r="AI253" i="2"/>
  <c r="AC317" i="2"/>
  <c r="U252" i="2"/>
  <c r="AL253" i="2"/>
  <c r="M253" i="2" l="1"/>
  <c r="N253" i="2"/>
  <c r="I253" i="2"/>
  <c r="AM254" i="2"/>
  <c r="K253" i="2"/>
  <c r="AJ318" i="2"/>
  <c r="Y318" i="2"/>
  <c r="AR253" i="2"/>
  <c r="AQ253" i="2"/>
  <c r="X318" i="2" l="1"/>
  <c r="Z318" i="2" s="1"/>
  <c r="AK253" i="2"/>
  <c r="L253" i="2"/>
  <c r="AB253" i="2"/>
  <c r="AP254" i="2"/>
  <c r="AN254" i="2"/>
  <c r="O253" i="2" l="1"/>
  <c r="W319" i="2"/>
  <c r="V253" i="2"/>
  <c r="AO254" i="2"/>
  <c r="P253" i="2"/>
  <c r="AC318" i="2"/>
  <c r="H254" i="2"/>
  <c r="Y319" i="2"/>
  <c r="U253" i="2"/>
  <c r="AJ319" i="2"/>
  <c r="E254" i="2"/>
  <c r="D255" i="2"/>
  <c r="X319" i="2" l="1"/>
  <c r="Z319" i="2" s="1"/>
  <c r="J254" i="2"/>
  <c r="AI254" i="2"/>
  <c r="AL254" i="2"/>
  <c r="M254" i="2" l="1"/>
  <c r="N254" i="2"/>
  <c r="I254" i="2"/>
  <c r="W320" i="2"/>
  <c r="AM255" i="2"/>
  <c r="K254" i="2"/>
  <c r="AC319" i="2"/>
  <c r="AR254" i="2"/>
  <c r="AQ254" i="2"/>
  <c r="L254" i="2"/>
  <c r="AB254" i="2"/>
  <c r="Y320" i="2"/>
  <c r="AK254" i="2"/>
  <c r="AJ320" i="2"/>
  <c r="AP255" i="2"/>
  <c r="AN255" i="2"/>
  <c r="X320" i="2" l="1"/>
  <c r="Z320" i="2" s="1"/>
  <c r="O254" i="2"/>
  <c r="V254" i="2"/>
  <c r="AO255" i="2"/>
  <c r="P254" i="2"/>
  <c r="H255" i="2"/>
  <c r="E255" i="2"/>
  <c r="D256" i="2"/>
  <c r="W321" i="2" l="1"/>
  <c r="U254" i="2"/>
  <c r="AI255" i="2"/>
  <c r="J255" i="2"/>
  <c r="AC320" i="2"/>
  <c r="AL255" i="2"/>
  <c r="M255" i="2" l="1"/>
  <c r="N255" i="2"/>
  <c r="I255" i="2"/>
  <c r="AM256" i="2"/>
  <c r="K255" i="2"/>
  <c r="Y321" i="2"/>
  <c r="AJ321" i="2"/>
  <c r="AR255" i="2"/>
  <c r="AQ255" i="2"/>
  <c r="X321" i="2" l="1"/>
  <c r="Z321" i="2" s="1"/>
  <c r="L255" i="2"/>
  <c r="AB255" i="2"/>
  <c r="AK255" i="2"/>
  <c r="AP256" i="2"/>
  <c r="AN256" i="2"/>
  <c r="O255" i="2" l="1"/>
  <c r="W322" i="2"/>
  <c r="V255" i="2"/>
  <c r="P255" i="2"/>
  <c r="AO256" i="2"/>
  <c r="AC321" i="2"/>
  <c r="H256" i="2"/>
  <c r="E256" i="2"/>
  <c r="D257" i="2"/>
  <c r="U255" i="2"/>
  <c r="AI256" i="2"/>
  <c r="J256" i="2"/>
  <c r="AJ322" i="2"/>
  <c r="Y322" i="2"/>
  <c r="AL256" i="2"/>
  <c r="X322" i="2" l="1"/>
  <c r="Z322" i="2" s="1"/>
  <c r="M256" i="2"/>
  <c r="N256" i="2"/>
  <c r="I256" i="2"/>
  <c r="AM257" i="2"/>
  <c r="K256" i="2"/>
  <c r="AR256" i="2"/>
  <c r="AQ256" i="2"/>
  <c r="W323" i="2" l="1"/>
  <c r="L256" i="2"/>
  <c r="AK256" i="2"/>
  <c r="AB256" i="2"/>
  <c r="AC322" i="2"/>
  <c r="AP257" i="2"/>
  <c r="AN257" i="2"/>
  <c r="O256" i="2" l="1"/>
  <c r="V256" i="2"/>
  <c r="P256" i="2"/>
  <c r="AO257" i="2"/>
  <c r="AJ323" i="2"/>
  <c r="H257" i="2"/>
  <c r="Y323" i="2"/>
  <c r="E257" i="2"/>
  <c r="D258" i="2"/>
  <c r="X323" i="2" l="1"/>
  <c r="Z323" i="2" s="1"/>
  <c r="AI257" i="2"/>
  <c r="U256" i="2"/>
  <c r="J257" i="2"/>
  <c r="AC323" i="2"/>
  <c r="AL257" i="2"/>
  <c r="M257" i="2" l="1"/>
  <c r="N257" i="2"/>
  <c r="I257" i="2"/>
  <c r="W324" i="2"/>
  <c r="AM258" i="2"/>
  <c r="K257" i="2"/>
  <c r="AR257" i="2"/>
  <c r="AQ257" i="2"/>
  <c r="L257" i="2"/>
  <c r="AK257" i="2"/>
  <c r="Y324" i="2"/>
  <c r="AB257" i="2"/>
  <c r="AJ324" i="2"/>
  <c r="AP258" i="2"/>
  <c r="AN258" i="2"/>
  <c r="X324" i="2" l="1"/>
  <c r="Z324" i="2" s="1"/>
  <c r="O257" i="2"/>
  <c r="V257" i="2"/>
  <c r="AO258" i="2"/>
  <c r="P257" i="2"/>
  <c r="W325" i="2" l="1"/>
  <c r="H258" i="2"/>
  <c r="AC324" i="2"/>
  <c r="U257" i="2"/>
  <c r="E258" i="2"/>
  <c r="D259" i="2"/>
  <c r="AJ325" i="2"/>
  <c r="AI258" i="2"/>
  <c r="J258" i="2"/>
  <c r="Y325" i="2"/>
  <c r="AL258" i="2"/>
  <c r="X325" i="2" l="1"/>
  <c r="Z325" i="2" s="1"/>
  <c r="M258" i="2"/>
  <c r="N258" i="2"/>
  <c r="I258" i="2"/>
  <c r="AC325" i="2"/>
  <c r="AM259" i="2"/>
  <c r="K258" i="2"/>
  <c r="AR258" i="2"/>
  <c r="AQ258" i="2"/>
  <c r="W326" i="2" l="1"/>
  <c r="L258" i="2"/>
  <c r="AB258" i="2"/>
  <c r="AK258" i="2"/>
  <c r="AP259" i="2"/>
  <c r="AN259" i="2"/>
  <c r="O258" i="2" l="1"/>
  <c r="V258" i="2"/>
  <c r="P258" i="2"/>
  <c r="AO259" i="2"/>
  <c r="Y326" i="2"/>
  <c r="H259" i="2"/>
  <c r="AJ326" i="2"/>
  <c r="E259" i="2"/>
  <c r="D260" i="2"/>
  <c r="X326" i="2" l="1"/>
  <c r="Z326" i="2" s="1"/>
  <c r="J259" i="2"/>
  <c r="U258" i="2"/>
  <c r="AI259" i="2"/>
  <c r="AL259" i="2"/>
  <c r="M259" i="2" l="1"/>
  <c r="N259" i="2"/>
  <c r="I259" i="2"/>
  <c r="W327" i="2"/>
  <c r="AM260" i="2"/>
  <c r="K259" i="2"/>
  <c r="AC326" i="2"/>
  <c r="AR259" i="2"/>
  <c r="AQ259" i="2"/>
  <c r="L259" i="2"/>
  <c r="AB259" i="2"/>
  <c r="AJ327" i="2"/>
  <c r="AK259" i="2"/>
  <c r="Y327" i="2"/>
  <c r="AP260" i="2"/>
  <c r="AN260" i="2"/>
  <c r="X327" i="2" l="1"/>
  <c r="Z327" i="2" s="1"/>
  <c r="O259" i="2"/>
  <c r="V259" i="2"/>
  <c r="AO260" i="2"/>
  <c r="H260" i="2" s="1"/>
  <c r="P259" i="2"/>
  <c r="E260" i="2"/>
  <c r="D261" i="2"/>
  <c r="W328" i="2" l="1"/>
  <c r="U259" i="2"/>
  <c r="AI260" i="2"/>
  <c r="AC327" i="2"/>
  <c r="J260" i="2"/>
  <c r="AL260" i="2"/>
  <c r="M260" i="2" l="1"/>
  <c r="N260" i="2"/>
  <c r="I260" i="2"/>
  <c r="AM261" i="2"/>
  <c r="K260" i="2"/>
  <c r="Y328" i="2"/>
  <c r="AJ328" i="2"/>
  <c r="AR260" i="2"/>
  <c r="AQ260" i="2"/>
  <c r="X328" i="2" l="1"/>
  <c r="Z328" i="2" s="1"/>
  <c r="L260" i="2"/>
  <c r="AB260" i="2"/>
  <c r="AK260" i="2"/>
  <c r="AP261" i="2"/>
  <c r="AN261" i="2"/>
  <c r="O260" i="2" l="1"/>
  <c r="W329" i="2"/>
  <c r="V260" i="2"/>
  <c r="AO261" i="2"/>
  <c r="P260" i="2"/>
  <c r="H261" i="2"/>
  <c r="AC328" i="2"/>
  <c r="E261" i="2"/>
  <c r="D262" i="2"/>
  <c r="AJ329" i="2"/>
  <c r="AI261" i="2"/>
  <c r="U260" i="2"/>
  <c r="Y329" i="2"/>
  <c r="J261" i="2"/>
  <c r="AL261" i="2"/>
  <c r="M261" i="2" l="1"/>
  <c r="N261" i="2"/>
  <c r="I261" i="2"/>
  <c r="X329" i="2"/>
  <c r="Z329" i="2" s="1"/>
  <c r="AM262" i="2"/>
  <c r="K261" i="2"/>
  <c r="AR261" i="2"/>
  <c r="AQ261" i="2"/>
  <c r="W330" i="2" l="1"/>
  <c r="L261" i="2"/>
  <c r="AB261" i="2"/>
  <c r="AK261" i="2"/>
  <c r="AC329" i="2"/>
  <c r="AP262" i="2"/>
  <c r="AN262" i="2"/>
  <c r="O261" i="2" l="1"/>
  <c r="AJ330" i="2"/>
  <c r="Y330" i="2"/>
  <c r="X330" i="2"/>
  <c r="V261" i="2"/>
  <c r="P261" i="2"/>
  <c r="AO262" i="2"/>
  <c r="N330" i="2" l="1"/>
  <c r="Z330" i="2"/>
  <c r="H262" i="2"/>
  <c r="U261" i="2"/>
  <c r="AC330" i="2"/>
  <c r="E262" i="2"/>
  <c r="D263" i="2"/>
  <c r="W331" i="2" l="1"/>
  <c r="J262" i="2"/>
  <c r="AI262" i="2"/>
  <c r="AL262" i="2"/>
  <c r="M262" i="2" l="1"/>
  <c r="N262" i="2"/>
  <c r="I262" i="2"/>
  <c r="AJ331" i="2"/>
  <c r="Y331" i="2"/>
  <c r="X331" i="2"/>
  <c r="AM263" i="2"/>
  <c r="K262" i="2"/>
  <c r="AC331" i="2"/>
  <c r="AR262" i="2"/>
  <c r="AQ262" i="2"/>
  <c r="N331" i="2" l="1"/>
  <c r="Z331" i="2"/>
  <c r="L262" i="2"/>
  <c r="AK262" i="2"/>
  <c r="AB262" i="2"/>
  <c r="AP263" i="2"/>
  <c r="AN263" i="2"/>
  <c r="O262" i="2" l="1"/>
  <c r="W332" i="2"/>
  <c r="V262" i="2"/>
  <c r="AO263" i="2"/>
  <c r="P262" i="2"/>
  <c r="H263" i="2"/>
  <c r="E263" i="2"/>
  <c r="D264" i="2"/>
  <c r="Y332" i="2" l="1"/>
  <c r="X332" i="2"/>
  <c r="AJ332" i="2"/>
  <c r="U262" i="2"/>
  <c r="AI263" i="2"/>
  <c r="AC332" i="2"/>
  <c r="J263" i="2"/>
  <c r="AL263" i="2"/>
  <c r="M263" i="2" l="1"/>
  <c r="N263" i="2"/>
  <c r="I263" i="2"/>
  <c r="N332" i="2"/>
  <c r="Z332" i="2"/>
  <c r="AM264" i="2"/>
  <c r="K263" i="2"/>
  <c r="AR263" i="2"/>
  <c r="AQ263" i="2"/>
  <c r="W333" i="2" l="1"/>
  <c r="L263" i="2"/>
  <c r="AK263" i="2"/>
  <c r="AB263" i="2"/>
  <c r="AP264" i="2"/>
  <c r="AN264" i="2"/>
  <c r="O263" i="2" l="1"/>
  <c r="AJ333" i="2"/>
  <c r="X333" i="2"/>
  <c r="Y333" i="2"/>
  <c r="V263" i="2"/>
  <c r="P263" i="2"/>
  <c r="AO264" i="2"/>
  <c r="H264" i="2" s="1"/>
  <c r="E264" i="2"/>
  <c r="D265" i="2"/>
  <c r="N333" i="2" l="1"/>
  <c r="Z333" i="2"/>
  <c r="U263" i="2"/>
  <c r="AC333" i="2"/>
  <c r="AI264" i="2"/>
  <c r="J264" i="2"/>
  <c r="AL264" i="2"/>
  <c r="M264" i="2" l="1"/>
  <c r="N264" i="2"/>
  <c r="I264" i="2"/>
  <c r="W334" i="2"/>
  <c r="AM265" i="2"/>
  <c r="K264" i="2"/>
  <c r="AR264" i="2"/>
  <c r="AQ264" i="2"/>
  <c r="Y334" i="2" l="1"/>
  <c r="AJ334" i="2"/>
  <c r="X334" i="2"/>
  <c r="L264" i="2"/>
  <c r="AK264" i="2"/>
  <c r="AC334" i="2"/>
  <c r="AB264" i="2"/>
  <c r="AP265" i="2"/>
  <c r="AN265" i="2"/>
  <c r="O264" i="2" l="1"/>
  <c r="N334" i="2"/>
  <c r="Z334" i="2"/>
  <c r="V264" i="2"/>
  <c r="AO265" i="2"/>
  <c r="H265" i="2"/>
  <c r="P264" i="2"/>
  <c r="E265" i="2"/>
  <c r="D266" i="2"/>
  <c r="W335" i="2" l="1"/>
  <c r="AI265" i="2"/>
  <c r="J265" i="2"/>
  <c r="U264" i="2"/>
  <c r="AL265" i="2"/>
  <c r="M265" i="2" l="1"/>
  <c r="N265" i="2"/>
  <c r="I265" i="2"/>
  <c r="X335" i="2"/>
  <c r="AJ335" i="2"/>
  <c r="Y335" i="2"/>
  <c r="AM266" i="2"/>
  <c r="K265" i="2"/>
  <c r="AC335" i="2"/>
  <c r="AR265" i="2"/>
  <c r="AQ265" i="2"/>
  <c r="N335" i="2" l="1"/>
  <c r="Z335" i="2"/>
  <c r="L265" i="2"/>
  <c r="AK265" i="2"/>
  <c r="AB265" i="2"/>
  <c r="AP266" i="2"/>
  <c r="AN266" i="2"/>
  <c r="O265" i="2" l="1"/>
  <c r="W336" i="2"/>
  <c r="V265" i="2"/>
  <c r="P265" i="2"/>
  <c r="AO266" i="2"/>
  <c r="H266" i="2" s="1"/>
  <c r="E266" i="2"/>
  <c r="D267" i="2"/>
  <c r="Y336" i="2" l="1"/>
  <c r="X336" i="2"/>
  <c r="AJ336" i="2"/>
  <c r="AI266" i="2"/>
  <c r="U265" i="2"/>
  <c r="J266" i="2"/>
  <c r="AC336" i="2"/>
  <c r="AL266" i="2"/>
  <c r="M266" i="2" l="1"/>
  <c r="N266" i="2"/>
  <c r="I266" i="2"/>
  <c r="N336" i="2"/>
  <c r="Z336" i="2"/>
  <c r="AM267" i="2"/>
  <c r="K266" i="2"/>
  <c r="AR266" i="2"/>
  <c r="AQ266" i="2"/>
  <c r="W337" i="2" l="1"/>
  <c r="L266" i="2"/>
  <c r="AK266" i="2"/>
  <c r="AB266" i="2"/>
  <c r="AP267" i="2"/>
  <c r="AN267" i="2"/>
  <c r="O266" i="2" l="1"/>
  <c r="Y337" i="2"/>
  <c r="AJ337" i="2"/>
  <c r="X337" i="2"/>
  <c r="V266" i="2"/>
  <c r="AO267" i="2"/>
  <c r="P266" i="2"/>
  <c r="H267" i="2"/>
  <c r="AC337" i="2"/>
  <c r="E267" i="2"/>
  <c r="D268" i="2"/>
  <c r="N337" i="2" l="1"/>
  <c r="Z337" i="2"/>
  <c r="AI267" i="2"/>
  <c r="U266" i="2"/>
  <c r="J267" i="2"/>
  <c r="AL267" i="2"/>
  <c r="M267" i="2" l="1"/>
  <c r="N267" i="2"/>
  <c r="I267" i="2"/>
  <c r="W338" i="2"/>
  <c r="AM268" i="2"/>
  <c r="K267" i="2"/>
  <c r="AR267" i="2"/>
  <c r="AQ267" i="2"/>
  <c r="AJ338" i="2" l="1"/>
  <c r="Y338" i="2"/>
  <c r="X338" i="2"/>
  <c r="L267" i="2"/>
  <c r="AB267" i="2"/>
  <c r="AK267" i="2"/>
  <c r="AP268" i="2"/>
  <c r="AN268" i="2"/>
  <c r="O267" i="2" l="1"/>
  <c r="N338" i="2"/>
  <c r="Z338" i="2"/>
  <c r="V267" i="2"/>
  <c r="P267" i="2"/>
  <c r="AO268" i="2"/>
  <c r="H268" i="2" s="1"/>
  <c r="AC338" i="2"/>
  <c r="E268" i="2"/>
  <c r="D269" i="2"/>
  <c r="W339" i="2" l="1"/>
  <c r="U267" i="2"/>
  <c r="AI268" i="2"/>
  <c r="J268" i="2"/>
  <c r="AL268" i="2"/>
  <c r="M268" i="2" l="1"/>
  <c r="N268" i="2"/>
  <c r="I268" i="2"/>
  <c r="X339" i="2"/>
  <c r="Y339" i="2"/>
  <c r="AJ339" i="2"/>
  <c r="AM269" i="2"/>
  <c r="K268" i="2"/>
  <c r="AC339" i="2"/>
  <c r="AR268" i="2"/>
  <c r="AQ268" i="2"/>
  <c r="N339" i="2" l="1"/>
  <c r="Z339" i="2"/>
  <c r="L268" i="2"/>
  <c r="AK268" i="2"/>
  <c r="AB268" i="2"/>
  <c r="AP269" i="2"/>
  <c r="AN269" i="2"/>
  <c r="O268" i="2" l="1"/>
  <c r="W340" i="2"/>
  <c r="V268" i="2"/>
  <c r="P268" i="2"/>
  <c r="AO269" i="2"/>
  <c r="H269" i="2" s="1"/>
  <c r="E269" i="2"/>
  <c r="D270" i="2"/>
  <c r="Y340" i="2" l="1"/>
  <c r="AJ340" i="2"/>
  <c r="X340" i="2"/>
  <c r="J269" i="2"/>
  <c r="U268" i="2"/>
  <c r="AI269" i="2"/>
  <c r="AC340" i="2"/>
  <c r="AL269" i="2"/>
  <c r="M269" i="2" l="1"/>
  <c r="N269" i="2"/>
  <c r="I269" i="2"/>
  <c r="N340" i="2"/>
  <c r="Z340" i="2"/>
  <c r="AM270" i="2"/>
  <c r="K269" i="2"/>
  <c r="AR269" i="2"/>
  <c r="AQ269" i="2"/>
  <c r="W341" i="2" l="1"/>
  <c r="L269" i="2"/>
  <c r="AB269" i="2"/>
  <c r="AK269" i="2"/>
  <c r="AP270" i="2"/>
  <c r="AN270" i="2"/>
  <c r="O269" i="2" l="1"/>
  <c r="Y341" i="2"/>
  <c r="AJ341" i="2"/>
  <c r="X341" i="2"/>
  <c r="V269" i="2"/>
  <c r="P269" i="2"/>
  <c r="AO270" i="2"/>
  <c r="AC341" i="2"/>
  <c r="H270" i="2"/>
  <c r="E270" i="2"/>
  <c r="D271" i="2"/>
  <c r="N341" i="2" l="1"/>
  <c r="Z341" i="2"/>
  <c r="AI270" i="2"/>
  <c r="J270" i="2"/>
  <c r="U269" i="2"/>
  <c r="AL270" i="2"/>
  <c r="M270" i="2" l="1"/>
  <c r="N270" i="2"/>
  <c r="I270" i="2"/>
  <c r="W342" i="2"/>
  <c r="AM271" i="2"/>
  <c r="K270" i="2"/>
  <c r="AR270" i="2"/>
  <c r="AQ270" i="2"/>
  <c r="Y342" i="2" l="1"/>
  <c r="AJ342" i="2"/>
  <c r="X342" i="2"/>
  <c r="L270" i="2"/>
  <c r="AB270" i="2"/>
  <c r="AC342" i="2"/>
  <c r="AK270" i="2"/>
  <c r="AP271" i="2"/>
  <c r="AN271" i="2"/>
  <c r="O270" i="2" l="1"/>
  <c r="N342" i="2"/>
  <c r="Z342" i="2"/>
  <c r="V270" i="2"/>
  <c r="P270" i="2"/>
  <c r="AO271" i="2"/>
  <c r="H271" i="2"/>
  <c r="E271" i="2"/>
  <c r="D272" i="2"/>
  <c r="W343" i="2" l="1"/>
  <c r="AI271" i="2"/>
  <c r="J271" i="2"/>
  <c r="U270" i="2"/>
  <c r="AL271" i="2"/>
  <c r="M271" i="2" l="1"/>
  <c r="N271" i="2"/>
  <c r="I271" i="2"/>
  <c r="X343" i="2"/>
  <c r="AJ343" i="2"/>
  <c r="Y343" i="2"/>
  <c r="AM272" i="2"/>
  <c r="K271" i="2"/>
  <c r="AR271" i="2"/>
  <c r="AQ271" i="2"/>
  <c r="N343" i="2" l="1"/>
  <c r="Z343" i="2"/>
  <c r="L271" i="2"/>
  <c r="AK271" i="2"/>
  <c r="AB271" i="2"/>
  <c r="AC343" i="2"/>
  <c r="AP272" i="2"/>
  <c r="AN272" i="2"/>
  <c r="O271" i="2" l="1"/>
  <c r="W344" i="2"/>
  <c r="V271" i="2"/>
  <c r="AO272" i="2"/>
  <c r="P271" i="2"/>
  <c r="AJ344" i="2" l="1"/>
  <c r="X344" i="2"/>
  <c r="Y344" i="2"/>
  <c r="H272" i="2"/>
  <c r="U271" i="2"/>
  <c r="AC344" i="2"/>
  <c r="E272" i="2"/>
  <c r="D273" i="2"/>
  <c r="N344" i="2" l="1"/>
  <c r="Z344" i="2"/>
  <c r="AI272" i="2"/>
  <c r="J272" i="2"/>
  <c r="AL272" i="2"/>
  <c r="M272" i="2" l="1"/>
  <c r="N272" i="2"/>
  <c r="I272" i="2"/>
  <c r="W345" i="2"/>
  <c r="AM273" i="2"/>
  <c r="K272" i="2"/>
  <c r="AR272" i="2"/>
  <c r="AQ272" i="2"/>
  <c r="Y345" i="2" l="1"/>
  <c r="AJ345" i="2"/>
  <c r="X345" i="2"/>
  <c r="L272" i="2"/>
  <c r="AB272" i="2"/>
  <c r="AK272" i="2"/>
  <c r="AP273" i="2"/>
  <c r="AN273" i="2"/>
  <c r="O272" i="2" l="1"/>
  <c r="N345" i="2"/>
  <c r="Z345" i="2"/>
  <c r="V272" i="2"/>
  <c r="AO273" i="2"/>
  <c r="P272" i="2"/>
  <c r="H273" i="2"/>
  <c r="AC345" i="2"/>
  <c r="E273" i="2"/>
  <c r="D274" i="2"/>
  <c r="W346" i="2" l="1"/>
  <c r="AI273" i="2"/>
  <c r="U272" i="2"/>
  <c r="J273" i="2"/>
  <c r="AL273" i="2"/>
  <c r="M273" i="2" l="1"/>
  <c r="N273" i="2"/>
  <c r="I273" i="2"/>
  <c r="X346" i="2"/>
  <c r="Y346" i="2"/>
  <c r="AJ346" i="2"/>
  <c r="AM274" i="2"/>
  <c r="K273" i="2"/>
  <c r="AR273" i="2"/>
  <c r="AQ273" i="2"/>
  <c r="N346" i="2" l="1"/>
  <c r="Z346" i="2"/>
  <c r="L273" i="2"/>
  <c r="AC346" i="2"/>
  <c r="AK273" i="2"/>
  <c r="AB273" i="2"/>
  <c r="AP274" i="2"/>
  <c r="AN274" i="2"/>
  <c r="O273" i="2" l="1"/>
  <c r="W347" i="2"/>
  <c r="V273" i="2"/>
  <c r="AO274" i="2"/>
  <c r="P273" i="2"/>
  <c r="H274" i="2"/>
  <c r="E274" i="2"/>
  <c r="D275" i="2"/>
  <c r="Y347" i="2" l="1"/>
  <c r="X347" i="2"/>
  <c r="AJ347" i="2"/>
  <c r="J274" i="2"/>
  <c r="U273" i="2"/>
  <c r="AC347" i="2"/>
  <c r="AI274" i="2"/>
  <c r="AL274" i="2"/>
  <c r="M274" i="2" l="1"/>
  <c r="N274" i="2"/>
  <c r="I274" i="2"/>
  <c r="N347" i="2"/>
  <c r="Z347" i="2"/>
  <c r="AM275" i="2"/>
  <c r="K274" i="2"/>
  <c r="AR274" i="2"/>
  <c r="AQ274" i="2"/>
  <c r="W348" i="2" l="1"/>
  <c r="L274" i="2"/>
  <c r="AB274" i="2"/>
  <c r="AK274" i="2"/>
  <c r="AP275" i="2"/>
  <c r="AN275" i="2"/>
  <c r="O274" i="2" l="1"/>
  <c r="Y348" i="2"/>
  <c r="AJ348" i="2"/>
  <c r="X348" i="2"/>
  <c r="V274" i="2"/>
  <c r="AO275" i="2"/>
  <c r="P274" i="2"/>
  <c r="N348" i="2" l="1"/>
  <c r="Z348" i="2"/>
  <c r="H275" i="2"/>
  <c r="U274" i="2"/>
  <c r="AC348" i="2"/>
  <c r="E275" i="2"/>
  <c r="D276" i="2"/>
  <c r="W349" i="2" l="1"/>
  <c r="AI275" i="2"/>
  <c r="J275" i="2"/>
  <c r="AL275" i="2"/>
  <c r="M275" i="2" l="1"/>
  <c r="N275" i="2"/>
  <c r="I275" i="2"/>
  <c r="AJ349" i="2"/>
  <c r="X349" i="2"/>
  <c r="Y349" i="2"/>
  <c r="AM276" i="2"/>
  <c r="K275" i="2"/>
  <c r="AR275" i="2"/>
  <c r="AQ275" i="2"/>
  <c r="N349" i="2" l="1"/>
  <c r="Z349" i="2"/>
  <c r="L275" i="2"/>
  <c r="AK275" i="2"/>
  <c r="AB275" i="2"/>
  <c r="AC349" i="2"/>
  <c r="AP276" i="2"/>
  <c r="AN276" i="2"/>
  <c r="O275" i="2" l="1"/>
  <c r="W350" i="2"/>
  <c r="V275" i="2"/>
  <c r="AO276" i="2"/>
  <c r="P275" i="2"/>
  <c r="H276" i="2"/>
  <c r="E276" i="2"/>
  <c r="D277" i="2"/>
  <c r="Y350" i="2" l="1"/>
  <c r="X350" i="2"/>
  <c r="AJ350" i="2"/>
  <c r="U275" i="2"/>
  <c r="AI276" i="2"/>
  <c r="J276" i="2"/>
  <c r="AC350" i="2"/>
  <c r="AL276" i="2"/>
  <c r="M276" i="2" l="1"/>
  <c r="N276" i="2"/>
  <c r="I276" i="2"/>
  <c r="N350" i="2"/>
  <c r="Z350" i="2"/>
  <c r="AM277" i="2"/>
  <c r="K276" i="2"/>
  <c r="AR276" i="2"/>
  <c r="AQ276" i="2"/>
  <c r="W351" i="2" l="1"/>
  <c r="L276" i="2"/>
  <c r="AK276" i="2"/>
  <c r="AB276" i="2"/>
  <c r="AP277" i="2"/>
  <c r="AN277" i="2"/>
  <c r="O276" i="2" l="1"/>
  <c r="X351" i="2"/>
  <c r="Y351" i="2"/>
  <c r="AJ351" i="2"/>
  <c r="V276" i="2"/>
  <c r="P276" i="2"/>
  <c r="AO277" i="2"/>
  <c r="H277" i="2"/>
  <c r="AC351" i="2"/>
  <c r="E277" i="2"/>
  <c r="D278" i="2"/>
  <c r="N351" i="2" l="1"/>
  <c r="Z351" i="2"/>
  <c r="J277" i="2"/>
  <c r="U276" i="2"/>
  <c r="AI277" i="2"/>
  <c r="AL277" i="2"/>
  <c r="M277" i="2" l="1"/>
  <c r="N277" i="2"/>
  <c r="I277" i="2"/>
  <c r="W352" i="2"/>
  <c r="AM278" i="2"/>
  <c r="K277" i="2"/>
  <c r="AR277" i="2"/>
  <c r="AQ277" i="2"/>
  <c r="AJ352" i="2" l="1"/>
  <c r="Y352" i="2"/>
  <c r="X352" i="2"/>
  <c r="L277" i="2"/>
  <c r="AK277" i="2"/>
  <c r="AB277" i="2"/>
  <c r="AC352" i="2"/>
  <c r="AP278" i="2"/>
  <c r="AN278" i="2"/>
  <c r="O277" i="2" l="1"/>
  <c r="N352" i="2"/>
  <c r="Z352" i="2"/>
  <c r="V277" i="2"/>
  <c r="P277" i="2"/>
  <c r="AO278" i="2"/>
  <c r="H278" i="2" s="1"/>
  <c r="E278" i="2"/>
  <c r="D279" i="2"/>
  <c r="W353" i="2" l="1"/>
  <c r="AI278" i="2"/>
  <c r="U277" i="2"/>
  <c r="J278" i="2"/>
  <c r="AL278" i="2"/>
  <c r="M278" i="2" l="1"/>
  <c r="N278" i="2"/>
  <c r="I278" i="2"/>
  <c r="AJ353" i="2"/>
  <c r="Y353" i="2"/>
  <c r="X353" i="2"/>
  <c r="AM279" i="2"/>
  <c r="K278" i="2"/>
  <c r="AC353" i="2"/>
  <c r="AR278" i="2"/>
  <c r="AQ278" i="2"/>
  <c r="N353" i="2" l="1"/>
  <c r="Z353" i="2"/>
  <c r="L278" i="2"/>
  <c r="AB278" i="2"/>
  <c r="AK278" i="2"/>
  <c r="AP279" i="2"/>
  <c r="AN279" i="2"/>
  <c r="O278" i="2" l="1"/>
  <c r="W354" i="2"/>
  <c r="V278" i="2"/>
  <c r="P278" i="2"/>
  <c r="AO279" i="2"/>
  <c r="H279" i="2" s="1"/>
  <c r="E279" i="2"/>
  <c r="D280" i="2"/>
  <c r="AJ354" i="2" l="1"/>
  <c r="Y354" i="2"/>
  <c r="X354" i="2"/>
  <c r="AI279" i="2"/>
  <c r="J279" i="2"/>
  <c r="AL279" i="2"/>
  <c r="AC354" i="2"/>
  <c r="U278" i="2"/>
  <c r="I279" i="2" l="1"/>
  <c r="N279" i="2"/>
  <c r="M279" i="2"/>
  <c r="N354" i="2"/>
  <c r="Z354" i="2"/>
  <c r="K279" i="2"/>
  <c r="AM280" i="2"/>
  <c r="L279" i="2"/>
  <c r="AK279" i="2"/>
  <c r="AB279" i="2"/>
  <c r="AP280" i="2"/>
  <c r="AN280" i="2"/>
  <c r="AR279" i="2"/>
  <c r="AQ279" i="2"/>
  <c r="O279" i="2" l="1"/>
  <c r="W355" i="2"/>
  <c r="V279" i="2"/>
  <c r="AO280" i="2"/>
  <c r="P279" i="2"/>
  <c r="H280" i="2"/>
  <c r="E280" i="2"/>
  <c r="D281" i="2"/>
  <c r="X355" i="2" l="1"/>
  <c r="AJ355" i="2"/>
  <c r="Y355" i="2"/>
  <c r="AI280" i="2"/>
  <c r="J280" i="2"/>
  <c r="AL280" i="2"/>
  <c r="U279" i="2"/>
  <c r="I280" i="2" l="1"/>
  <c r="N355" i="2"/>
  <c r="Z355" i="2"/>
  <c r="N280" i="2"/>
  <c r="M280" i="2"/>
  <c r="K280" i="2"/>
  <c r="AM281" i="2"/>
  <c r="L280" i="2"/>
  <c r="AB280" i="2"/>
  <c r="AK280" i="2"/>
  <c r="AC355" i="2"/>
  <c r="AP281" i="2"/>
  <c r="AN281" i="2"/>
  <c r="AR280" i="2"/>
  <c r="AQ280" i="2"/>
  <c r="O280" i="2" l="1"/>
  <c r="W356" i="2"/>
  <c r="V280" i="2"/>
  <c r="P280" i="2"/>
  <c r="AO281" i="2"/>
  <c r="H281" i="2"/>
  <c r="E281" i="2"/>
  <c r="D282" i="2"/>
  <c r="AJ356" i="2" l="1"/>
  <c r="Y356" i="2"/>
  <c r="X356" i="2"/>
  <c r="AI281" i="2"/>
  <c r="J281" i="2"/>
  <c r="AL281" i="2"/>
  <c r="U280" i="2"/>
  <c r="I281" i="2" l="1"/>
  <c r="N356" i="2"/>
  <c r="Z356" i="2"/>
  <c r="N281" i="2"/>
  <c r="M281" i="2"/>
  <c r="K281" i="2"/>
  <c r="AM282" i="2"/>
  <c r="L281" i="2"/>
  <c r="AC356" i="2"/>
  <c r="AK281" i="2"/>
  <c r="AB281" i="2"/>
  <c r="AP282" i="2"/>
  <c r="AN282" i="2"/>
  <c r="AR281" i="2"/>
  <c r="AQ281" i="2"/>
  <c r="O281" i="2" l="1"/>
  <c r="W357" i="2"/>
  <c r="V281" i="2"/>
  <c r="AO282" i="2"/>
  <c r="P281" i="2"/>
  <c r="H282" i="2"/>
  <c r="E282" i="2"/>
  <c r="D283" i="2"/>
  <c r="Y357" i="2" l="1"/>
  <c r="AJ357" i="2"/>
  <c r="X357" i="2"/>
  <c r="AI282" i="2"/>
  <c r="J282" i="2"/>
  <c r="AL282" i="2"/>
  <c r="U281" i="2"/>
  <c r="I282" i="2" l="1"/>
  <c r="N357" i="2"/>
  <c r="Z357" i="2"/>
  <c r="N282" i="2"/>
  <c r="M282" i="2"/>
  <c r="K282" i="2"/>
  <c r="AM283" i="2"/>
  <c r="L282" i="2"/>
  <c r="AB282" i="2"/>
  <c r="AC357" i="2"/>
  <c r="AK282" i="2"/>
  <c r="AP283" i="2"/>
  <c r="AN283" i="2"/>
  <c r="AR282" i="2"/>
  <c r="AQ282" i="2"/>
  <c r="O282" i="2" l="1"/>
  <c r="W358" i="2"/>
  <c r="V282" i="2"/>
  <c r="AO283" i="2"/>
  <c r="P282" i="2"/>
  <c r="H283" i="2"/>
  <c r="E283" i="2"/>
  <c r="D284" i="2"/>
  <c r="Y358" i="2" l="1"/>
  <c r="AJ358" i="2"/>
  <c r="X358" i="2"/>
  <c r="AI283" i="2"/>
  <c r="J283" i="2"/>
  <c r="U282" i="2"/>
  <c r="AL283" i="2"/>
  <c r="I283" i="2" l="1"/>
  <c r="N358" i="2"/>
  <c r="Z358" i="2"/>
  <c r="N283" i="2"/>
  <c r="M283" i="2"/>
  <c r="K283" i="2"/>
  <c r="AM284" i="2"/>
  <c r="L283" i="2"/>
  <c r="AK283" i="2"/>
  <c r="AC358" i="2"/>
  <c r="AB283" i="2"/>
  <c r="AP284" i="2"/>
  <c r="AN284" i="2"/>
  <c r="AR283" i="2"/>
  <c r="AQ283" i="2"/>
  <c r="O283" i="2" l="1"/>
  <c r="W359" i="2"/>
  <c r="V283" i="2"/>
  <c r="P283" i="2"/>
  <c r="AO284" i="2"/>
  <c r="H284" i="2"/>
  <c r="E284" i="2"/>
  <c r="D285" i="2"/>
  <c r="Y359" i="2" l="1"/>
  <c r="X359" i="2"/>
  <c r="AJ359" i="2"/>
  <c r="AI284" i="2"/>
  <c r="J284" i="2"/>
  <c r="AC359" i="2"/>
  <c r="AL284" i="2"/>
  <c r="U283" i="2"/>
  <c r="I284" i="2" l="1"/>
  <c r="N359" i="2"/>
  <c r="Z359" i="2"/>
  <c r="N284" i="2"/>
  <c r="M284" i="2"/>
  <c r="K284" i="2"/>
  <c r="AM285" i="2"/>
  <c r="L284" i="2"/>
  <c r="AK284" i="2"/>
  <c r="AB284" i="2"/>
  <c r="AP285" i="2"/>
  <c r="AN285" i="2"/>
  <c r="AR284" i="2"/>
  <c r="AQ284" i="2"/>
  <c r="O284" i="2" l="1"/>
  <c r="W360" i="2"/>
  <c r="V284" i="2"/>
  <c r="AO285" i="2"/>
  <c r="H285" i="2" s="1"/>
  <c r="P284" i="2"/>
  <c r="E285" i="2"/>
  <c r="D286" i="2"/>
  <c r="AJ360" i="2" l="1"/>
  <c r="X360" i="2"/>
  <c r="Y360" i="2"/>
  <c r="AI285" i="2"/>
  <c r="J285" i="2"/>
  <c r="U284" i="2"/>
  <c r="AL285" i="2"/>
  <c r="I285" i="2" l="1"/>
  <c r="N360" i="2"/>
  <c r="Z360" i="2"/>
  <c r="N285" i="2"/>
  <c r="M285" i="2"/>
  <c r="K285" i="2"/>
  <c r="AM286" i="2"/>
  <c r="L285" i="2"/>
  <c r="AC360" i="2"/>
  <c r="AK285" i="2"/>
  <c r="AB285" i="2"/>
  <c r="AP286" i="2"/>
  <c r="AN286" i="2"/>
  <c r="AR285" i="2"/>
  <c r="AQ285" i="2"/>
  <c r="O285" i="2" l="1"/>
  <c r="W361" i="2"/>
  <c r="V285" i="2"/>
  <c r="AO286" i="2"/>
  <c r="P285" i="2"/>
  <c r="H286" i="2"/>
  <c r="E286" i="2"/>
  <c r="D287" i="2"/>
  <c r="Y361" i="2" l="1"/>
  <c r="AJ361" i="2"/>
  <c r="X361" i="2"/>
  <c r="AI286" i="2"/>
  <c r="J286" i="2"/>
  <c r="AL286" i="2"/>
  <c r="AC361" i="2"/>
  <c r="U285" i="2"/>
  <c r="I286" i="2" l="1"/>
  <c r="N286" i="2"/>
  <c r="M286" i="2"/>
  <c r="N361" i="2"/>
  <c r="Z361" i="2"/>
  <c r="K286" i="2"/>
  <c r="AM287" i="2"/>
  <c r="L286" i="2"/>
  <c r="AB286" i="2"/>
  <c r="AK286" i="2"/>
  <c r="AP287" i="2"/>
  <c r="AN287" i="2"/>
  <c r="AR286" i="2"/>
  <c r="AQ286" i="2"/>
  <c r="O286" i="2" l="1"/>
  <c r="W362" i="2"/>
  <c r="V286" i="2"/>
  <c r="AO287" i="2"/>
  <c r="P286" i="2"/>
  <c r="H287" i="2"/>
  <c r="E287" i="2"/>
  <c r="D288" i="2"/>
  <c r="AJ362" i="2" l="1"/>
  <c r="Y362" i="2"/>
  <c r="X362" i="2"/>
  <c r="AI287" i="2"/>
  <c r="J287" i="2"/>
  <c r="AL287" i="2"/>
  <c r="U286" i="2"/>
  <c r="I287" i="2" l="1"/>
  <c r="N362" i="2"/>
  <c r="Z362" i="2"/>
  <c r="N287" i="2"/>
  <c r="M287" i="2"/>
  <c r="K287" i="2"/>
  <c r="AM288" i="2"/>
  <c r="L287" i="2"/>
  <c r="AC362" i="2"/>
  <c r="AB287" i="2"/>
  <c r="AK287" i="2"/>
  <c r="AP288" i="2"/>
  <c r="AN288" i="2"/>
  <c r="AR287" i="2"/>
  <c r="AQ287" i="2"/>
  <c r="O287" i="2" l="1"/>
  <c r="W363" i="2"/>
  <c r="V287" i="2"/>
  <c r="AO288" i="2"/>
  <c r="P287" i="2"/>
  <c r="H288" i="2"/>
  <c r="E288" i="2"/>
  <c r="D289" i="2"/>
  <c r="X363" i="2" l="1"/>
  <c r="Y363" i="2"/>
  <c r="AJ363" i="2"/>
  <c r="AI288" i="2"/>
  <c r="J288" i="2"/>
  <c r="U287" i="2"/>
  <c r="AL288" i="2"/>
  <c r="AC363" i="2"/>
  <c r="I288" i="2" l="1"/>
  <c r="N363" i="2"/>
  <c r="Z363" i="2"/>
  <c r="N288" i="2"/>
  <c r="M288" i="2"/>
  <c r="K288" i="2"/>
  <c r="AM289" i="2"/>
  <c r="L288" i="2"/>
  <c r="AK288" i="2"/>
  <c r="AB288" i="2"/>
  <c r="AP289" i="2"/>
  <c r="AN289" i="2"/>
  <c r="AR288" i="2"/>
  <c r="AQ288" i="2"/>
  <c r="O288" i="2" l="1"/>
  <c r="W364" i="2"/>
  <c r="V288" i="2"/>
  <c r="AO289" i="2"/>
  <c r="P288" i="2"/>
  <c r="H289" i="2"/>
  <c r="E289" i="2"/>
  <c r="D290" i="2"/>
  <c r="Y364" i="2" l="1"/>
  <c r="X364" i="2"/>
  <c r="AJ364" i="2"/>
  <c r="AI289" i="2"/>
  <c r="J289" i="2"/>
  <c r="AL289" i="2"/>
  <c r="U288" i="2"/>
  <c r="AC364" i="2"/>
  <c r="I289" i="2" l="1"/>
  <c r="N364" i="2"/>
  <c r="Z364" i="2"/>
  <c r="N289" i="2"/>
  <c r="M289" i="2"/>
  <c r="K289" i="2"/>
  <c r="AM290" i="2"/>
  <c r="L289" i="2"/>
  <c r="AK289" i="2"/>
  <c r="AB289" i="2"/>
  <c r="AP290" i="2"/>
  <c r="AN290" i="2"/>
  <c r="AR289" i="2"/>
  <c r="AQ289" i="2"/>
  <c r="O289" i="2" l="1"/>
  <c r="W365" i="2"/>
  <c r="V289" i="2"/>
  <c r="P289" i="2"/>
  <c r="AO290" i="2"/>
  <c r="H290" i="2" s="1"/>
  <c r="E290" i="2"/>
  <c r="D291" i="2"/>
  <c r="X365" i="2" l="1"/>
  <c r="Y365" i="2"/>
  <c r="AJ365" i="2"/>
  <c r="J290" i="2"/>
  <c r="AI290" i="2"/>
  <c r="AL290" i="2"/>
  <c r="U289" i="2"/>
  <c r="AC365" i="2"/>
  <c r="I290" i="2" l="1"/>
  <c r="N365" i="2"/>
  <c r="Z365" i="2"/>
  <c r="N290" i="2"/>
  <c r="M290" i="2"/>
  <c r="K290" i="2"/>
  <c r="AM291" i="2"/>
  <c r="L290" i="2"/>
  <c r="AB290" i="2"/>
  <c r="AK290" i="2"/>
  <c r="AP291" i="2"/>
  <c r="AN291" i="2"/>
  <c r="AR290" i="2"/>
  <c r="AQ290" i="2"/>
  <c r="O290" i="2" l="1"/>
  <c r="W366" i="2"/>
  <c r="V290" i="2"/>
  <c r="P290" i="2"/>
  <c r="AO291" i="2"/>
  <c r="H291" i="2" s="1"/>
  <c r="E291" i="2"/>
  <c r="D292" i="2"/>
  <c r="X366" i="2" l="1"/>
  <c r="Y366" i="2"/>
  <c r="AJ366" i="2"/>
  <c r="AI291" i="2"/>
  <c r="J291" i="2"/>
  <c r="AC366" i="2"/>
  <c r="AL291" i="2"/>
  <c r="U290" i="2"/>
  <c r="I291" i="2" l="1"/>
  <c r="N366" i="2"/>
  <c r="Z366" i="2"/>
  <c r="N291" i="2"/>
  <c r="M291" i="2"/>
  <c r="K291" i="2"/>
  <c r="AM292" i="2"/>
  <c r="L291" i="2"/>
  <c r="AB291" i="2"/>
  <c r="AK291" i="2"/>
  <c r="AP292" i="2"/>
  <c r="AN292" i="2"/>
  <c r="AR291" i="2"/>
  <c r="AQ291" i="2"/>
  <c r="O291" i="2" l="1"/>
  <c r="W367" i="2"/>
  <c r="V291" i="2"/>
  <c r="AO292" i="2"/>
  <c r="P291" i="2"/>
  <c r="H292" i="2"/>
  <c r="E292" i="2"/>
  <c r="D293" i="2"/>
  <c r="X367" i="2" l="1"/>
  <c r="AJ367" i="2"/>
  <c r="Y367" i="2"/>
  <c r="AI292" i="2"/>
  <c r="J292" i="2"/>
  <c r="AL292" i="2"/>
  <c r="U291" i="2"/>
  <c r="I292" i="2" l="1"/>
  <c r="N367" i="2"/>
  <c r="Z367" i="2"/>
  <c r="N292" i="2"/>
  <c r="M292" i="2"/>
  <c r="K292" i="2"/>
  <c r="AM293" i="2"/>
  <c r="L292" i="2"/>
  <c r="AC367" i="2"/>
  <c r="AB292" i="2"/>
  <c r="AK292" i="2"/>
  <c r="AP293" i="2"/>
  <c r="AN293" i="2"/>
  <c r="AR292" i="2"/>
  <c r="AQ292" i="2"/>
  <c r="O292" i="2" l="1"/>
  <c r="W368" i="2"/>
  <c r="V292" i="2"/>
  <c r="AO293" i="2"/>
  <c r="P292" i="2"/>
  <c r="H293" i="2"/>
  <c r="E293" i="2"/>
  <c r="D294" i="2"/>
  <c r="X368" i="2" l="1"/>
  <c r="AJ368" i="2"/>
  <c r="Y368" i="2"/>
  <c r="AI293" i="2"/>
  <c r="J293" i="2"/>
  <c r="AL293" i="2"/>
  <c r="U292" i="2"/>
  <c r="I293" i="2" l="1"/>
  <c r="N368" i="2"/>
  <c r="Z368" i="2"/>
  <c r="N293" i="2"/>
  <c r="M293" i="2"/>
  <c r="K293" i="2"/>
  <c r="AM294" i="2"/>
  <c r="L293" i="2"/>
  <c r="AC368" i="2"/>
  <c r="AK293" i="2"/>
  <c r="AB293" i="2"/>
  <c r="AP294" i="2"/>
  <c r="AN294" i="2"/>
  <c r="AR293" i="2"/>
  <c r="AQ293" i="2"/>
  <c r="O293" i="2" l="1"/>
  <c r="W369" i="2"/>
  <c r="V293" i="2"/>
  <c r="AO294" i="2"/>
  <c r="P293" i="2"/>
  <c r="H294" i="2"/>
  <c r="E294" i="2"/>
  <c r="D295" i="2"/>
  <c r="X369" i="2" l="1"/>
  <c r="Y369" i="2"/>
  <c r="AJ369" i="2"/>
  <c r="J294" i="2"/>
  <c r="AI294" i="2"/>
  <c r="U293" i="2"/>
  <c r="AL294" i="2"/>
  <c r="AC369" i="2"/>
  <c r="I294" i="2" l="1"/>
  <c r="N369" i="2"/>
  <c r="Z369" i="2"/>
  <c r="N294" i="2"/>
  <c r="M294" i="2"/>
  <c r="K294" i="2"/>
  <c r="AM295" i="2"/>
  <c r="L294" i="2"/>
  <c r="AB294" i="2"/>
  <c r="AK294" i="2"/>
  <c r="AP295" i="2"/>
  <c r="AN295" i="2"/>
  <c r="AR294" i="2"/>
  <c r="AQ294" i="2"/>
  <c r="O294" i="2" l="1"/>
  <c r="W370" i="2"/>
  <c r="V294" i="2"/>
  <c r="AO295" i="2"/>
  <c r="P294" i="2"/>
  <c r="H295" i="2"/>
  <c r="E295" i="2"/>
  <c r="D296" i="2"/>
  <c r="X370" i="2" l="1"/>
  <c r="AJ370" i="2"/>
  <c r="Y370" i="2"/>
  <c r="AI295" i="2"/>
  <c r="J295" i="2"/>
  <c r="AL295" i="2"/>
  <c r="AC370" i="2"/>
  <c r="U294" i="2"/>
  <c r="I295" i="2" l="1"/>
  <c r="N295" i="2"/>
  <c r="M295" i="2"/>
  <c r="N370" i="2"/>
  <c r="Z370" i="2"/>
  <c r="K295" i="2"/>
  <c r="AM296" i="2"/>
  <c r="L295" i="2"/>
  <c r="AB295" i="2"/>
  <c r="AK295" i="2"/>
  <c r="AP296" i="2"/>
  <c r="AN296" i="2"/>
  <c r="AR295" i="2"/>
  <c r="AQ295" i="2"/>
  <c r="O295" i="2" l="1"/>
  <c r="W371" i="2"/>
  <c r="V295" i="2"/>
  <c r="P295" i="2"/>
  <c r="AO296" i="2"/>
  <c r="H296" i="2" s="1"/>
  <c r="E296" i="2"/>
  <c r="D297" i="2"/>
  <c r="AJ371" i="2" l="1"/>
  <c r="X371" i="2"/>
  <c r="Y371" i="2"/>
  <c r="AI296" i="2"/>
  <c r="J296" i="2"/>
  <c r="U295" i="2"/>
  <c r="AL296" i="2"/>
  <c r="I296" i="2" l="1"/>
  <c r="N371" i="2"/>
  <c r="Z371" i="2"/>
  <c r="N296" i="2"/>
  <c r="M296" i="2"/>
  <c r="K296" i="2"/>
  <c r="AM297" i="2"/>
  <c r="L296" i="2"/>
  <c r="AC371" i="2"/>
  <c r="AK296" i="2"/>
  <c r="AB296" i="2"/>
  <c r="AP297" i="2"/>
  <c r="AN297" i="2"/>
  <c r="AR296" i="2"/>
  <c r="AQ296" i="2"/>
  <c r="O296" i="2" l="1"/>
  <c r="W372" i="2"/>
  <c r="V296" i="2"/>
  <c r="AO297" i="2"/>
  <c r="P296" i="2"/>
  <c r="H297" i="2"/>
  <c r="E297" i="2"/>
  <c r="D298" i="2"/>
  <c r="Y372" i="2" l="1"/>
  <c r="X372" i="2"/>
  <c r="AJ372" i="2"/>
  <c r="AI297" i="2"/>
  <c r="J297" i="2"/>
  <c r="U296" i="2"/>
  <c r="AL297" i="2"/>
  <c r="AC372" i="2"/>
  <c r="I297" i="2" l="1"/>
  <c r="N372" i="2"/>
  <c r="Z372" i="2"/>
  <c r="N297" i="2"/>
  <c r="M297" i="2"/>
  <c r="K297" i="2"/>
  <c r="AM298" i="2"/>
  <c r="L297" i="2"/>
  <c r="AB297" i="2"/>
  <c r="AK297" i="2"/>
  <c r="AP298" i="2"/>
  <c r="AN298" i="2"/>
  <c r="AR297" i="2"/>
  <c r="AQ297" i="2"/>
  <c r="O297" i="2" l="1"/>
  <c r="W373" i="2"/>
  <c r="V297" i="2"/>
  <c r="AO298" i="2"/>
  <c r="P297" i="2"/>
  <c r="H298" i="2"/>
  <c r="E298" i="2"/>
  <c r="D299" i="2"/>
  <c r="AJ373" i="2" l="1"/>
  <c r="Y373" i="2"/>
  <c r="X373" i="2"/>
  <c r="AI298" i="2"/>
  <c r="J298" i="2"/>
  <c r="U297" i="2"/>
  <c r="AL298" i="2"/>
  <c r="AC373" i="2"/>
  <c r="I298" i="2" l="1"/>
  <c r="N373" i="2"/>
  <c r="Z373" i="2"/>
  <c r="N298" i="2"/>
  <c r="M298" i="2"/>
  <c r="K298" i="2"/>
  <c r="AM299" i="2"/>
  <c r="L298" i="2"/>
  <c r="AK298" i="2"/>
  <c r="AB298" i="2"/>
  <c r="AP299" i="2"/>
  <c r="AN299" i="2"/>
  <c r="AR298" i="2"/>
  <c r="AQ298" i="2"/>
  <c r="O298" i="2" l="1"/>
  <c r="W374" i="2"/>
  <c r="V298" i="2"/>
  <c r="AO299" i="2"/>
  <c r="P298" i="2"/>
  <c r="H299" i="2"/>
  <c r="E299" i="2"/>
  <c r="D300" i="2"/>
  <c r="X374" i="2" l="1"/>
  <c r="AJ374" i="2"/>
  <c r="Y374" i="2"/>
  <c r="AI299" i="2"/>
  <c r="J299" i="2"/>
  <c r="AL299" i="2"/>
  <c r="U298" i="2"/>
  <c r="I299" i="2" l="1"/>
  <c r="N374" i="2"/>
  <c r="Z374" i="2"/>
  <c r="N299" i="2"/>
  <c r="M299" i="2"/>
  <c r="K299" i="2"/>
  <c r="AM300" i="2"/>
  <c r="L299" i="2"/>
  <c r="AC374" i="2"/>
  <c r="AB299" i="2"/>
  <c r="AK299" i="2"/>
  <c r="AP300" i="2"/>
  <c r="AN300" i="2"/>
  <c r="AR299" i="2"/>
  <c r="AQ299" i="2"/>
  <c r="O299" i="2" l="1"/>
  <c r="W375" i="2"/>
  <c r="V299" i="2"/>
  <c r="P299" i="2"/>
  <c r="AO300" i="2"/>
  <c r="H300" i="2" s="1"/>
  <c r="E300" i="2"/>
  <c r="D301" i="2"/>
  <c r="X375" i="2" l="1"/>
  <c r="Y375" i="2"/>
  <c r="AJ375" i="2"/>
  <c r="AI300" i="2"/>
  <c r="J300" i="2"/>
  <c r="U299" i="2"/>
  <c r="AL300" i="2"/>
  <c r="AC375" i="2"/>
  <c r="I300" i="2" l="1"/>
  <c r="N375" i="2"/>
  <c r="Z375" i="2"/>
  <c r="N300" i="2"/>
  <c r="M300" i="2"/>
  <c r="K300" i="2"/>
  <c r="AM301" i="2"/>
  <c r="L300" i="2"/>
  <c r="AB300" i="2"/>
  <c r="AK300" i="2"/>
  <c r="AP301" i="2"/>
  <c r="AN301" i="2"/>
  <c r="AR300" i="2"/>
  <c r="AQ300" i="2"/>
  <c r="O300" i="2" l="1"/>
  <c r="W376" i="2"/>
  <c r="V300" i="2"/>
  <c r="AO301" i="2"/>
  <c r="P300" i="2"/>
  <c r="H301" i="2"/>
  <c r="E301" i="2"/>
  <c r="D302" i="2"/>
  <c r="Y376" i="2" l="1"/>
  <c r="AJ376" i="2"/>
  <c r="X376" i="2"/>
  <c r="AI301" i="2"/>
  <c r="J301" i="2"/>
  <c r="U300" i="2"/>
  <c r="AL301" i="2"/>
  <c r="I301" i="2" l="1"/>
  <c r="N376" i="2"/>
  <c r="Z376" i="2"/>
  <c r="N301" i="2"/>
  <c r="M301" i="2"/>
  <c r="K301" i="2"/>
  <c r="AM302" i="2"/>
  <c r="L301" i="2"/>
  <c r="AB301" i="2"/>
  <c r="AC376" i="2"/>
  <c r="AK301" i="2"/>
  <c r="AP302" i="2"/>
  <c r="AN302" i="2"/>
  <c r="AR301" i="2"/>
  <c r="AQ301" i="2"/>
  <c r="O301" i="2" l="1"/>
  <c r="W377" i="2"/>
  <c r="V301" i="2"/>
  <c r="P301" i="2"/>
  <c r="AO302" i="2"/>
  <c r="H302" i="2" s="1"/>
  <c r="E302" i="2"/>
  <c r="D303" i="2"/>
  <c r="Y377" i="2" l="1"/>
  <c r="X377" i="2"/>
  <c r="AJ377" i="2"/>
  <c r="AI302" i="2"/>
  <c r="J302" i="2"/>
  <c r="U301" i="2"/>
  <c r="AL302" i="2"/>
  <c r="AC377" i="2"/>
  <c r="I302" i="2" l="1"/>
  <c r="N377" i="2"/>
  <c r="Z377" i="2"/>
  <c r="N302" i="2"/>
  <c r="M302" i="2"/>
  <c r="K302" i="2"/>
  <c r="AM303" i="2"/>
  <c r="L302" i="2"/>
  <c r="AB302" i="2"/>
  <c r="AK302" i="2"/>
  <c r="AP303" i="2"/>
  <c r="AN303" i="2"/>
  <c r="V302" i="2"/>
  <c r="P302" i="2"/>
  <c r="R5" i="2"/>
  <c r="AO303" i="2"/>
  <c r="H303" i="2"/>
  <c r="E303" i="2"/>
  <c r="D304" i="2"/>
  <c r="AR302" i="2"/>
  <c r="AQ302" i="2"/>
  <c r="O302" i="2" l="1"/>
  <c r="AI303" i="2"/>
  <c r="J303" i="2"/>
  <c r="U302" i="2"/>
  <c r="AL303" i="2"/>
  <c r="I303" i="2" l="1"/>
  <c r="N303" i="2"/>
  <c r="M303" i="2"/>
  <c r="K303" i="2"/>
  <c r="AM304" i="2"/>
  <c r="L303" i="2"/>
  <c r="AB303" i="2"/>
  <c r="AK303" i="2"/>
  <c r="AP304" i="2"/>
  <c r="AN304" i="2"/>
  <c r="V303" i="2"/>
  <c r="AO304" i="2"/>
  <c r="P303" i="2"/>
  <c r="H304" i="2"/>
  <c r="E304" i="2"/>
  <c r="D305" i="2"/>
  <c r="AR303" i="2"/>
  <c r="AQ303" i="2"/>
  <c r="O303" i="2" l="1"/>
  <c r="AI304" i="2"/>
  <c r="J304" i="2"/>
  <c r="AL304" i="2"/>
  <c r="U303" i="2"/>
  <c r="I304" i="2" l="1"/>
  <c r="N304" i="2"/>
  <c r="M304" i="2"/>
  <c r="K304" i="2"/>
  <c r="AM305" i="2"/>
  <c r="L304" i="2"/>
  <c r="AK304" i="2"/>
  <c r="AB304" i="2"/>
  <c r="AP305" i="2"/>
  <c r="AN305" i="2"/>
  <c r="V304" i="2"/>
  <c r="AO305" i="2"/>
  <c r="P304" i="2"/>
  <c r="H305" i="2"/>
  <c r="E305" i="2"/>
  <c r="D306" i="2"/>
  <c r="AR304" i="2"/>
  <c r="AQ304" i="2"/>
  <c r="O304" i="2" l="1"/>
  <c r="AI305" i="2"/>
  <c r="J305" i="2"/>
  <c r="AL305" i="2"/>
  <c r="U304" i="2"/>
  <c r="I305" i="2" l="1"/>
  <c r="N305" i="2"/>
  <c r="M305" i="2"/>
  <c r="K305" i="2"/>
  <c r="AM306" i="2"/>
  <c r="L305" i="2"/>
  <c r="AK305" i="2"/>
  <c r="AB305" i="2"/>
  <c r="AP306" i="2"/>
  <c r="AN306" i="2"/>
  <c r="V305" i="2"/>
  <c r="AO306" i="2"/>
  <c r="P305" i="2"/>
  <c r="H306" i="2"/>
  <c r="E306" i="2"/>
  <c r="D307" i="2"/>
  <c r="AR305" i="2"/>
  <c r="AQ305" i="2"/>
  <c r="O305" i="2" l="1"/>
  <c r="AI306" i="2"/>
  <c r="J306" i="2"/>
  <c r="AL306" i="2"/>
  <c r="U305" i="2"/>
  <c r="I306" i="2" l="1"/>
  <c r="N306" i="2"/>
  <c r="M306" i="2"/>
  <c r="K306" i="2"/>
  <c r="AM307" i="2"/>
  <c r="L306" i="2"/>
  <c r="AK306" i="2"/>
  <c r="AB306" i="2"/>
  <c r="AP307" i="2"/>
  <c r="AN307" i="2"/>
  <c r="V306" i="2"/>
  <c r="AO307" i="2"/>
  <c r="P306" i="2"/>
  <c r="H307" i="2"/>
  <c r="E307" i="2"/>
  <c r="D308" i="2"/>
  <c r="AR306" i="2"/>
  <c r="AQ306" i="2"/>
  <c r="O306" i="2" l="1"/>
  <c r="AI307" i="2"/>
  <c r="J307" i="2"/>
  <c r="U306" i="2"/>
  <c r="AL307" i="2"/>
  <c r="I307" i="2" l="1"/>
  <c r="N307" i="2"/>
  <c r="M307" i="2"/>
  <c r="K307" i="2"/>
  <c r="AM308" i="2"/>
  <c r="L307" i="2"/>
  <c r="AK307" i="2"/>
  <c r="AB307" i="2"/>
  <c r="AP308" i="2"/>
  <c r="AN308" i="2"/>
  <c r="V307" i="2"/>
  <c r="AO308" i="2"/>
  <c r="P307" i="2"/>
  <c r="H308" i="2"/>
  <c r="E308" i="2"/>
  <c r="D309" i="2"/>
  <c r="AR307" i="2"/>
  <c r="AQ307" i="2"/>
  <c r="O307" i="2" l="1"/>
  <c r="AI308" i="2"/>
  <c r="J308" i="2"/>
  <c r="U307" i="2"/>
  <c r="AL308" i="2"/>
  <c r="I308" i="2" l="1"/>
  <c r="N308" i="2"/>
  <c r="M308" i="2"/>
  <c r="K308" i="2"/>
  <c r="AM309" i="2"/>
  <c r="L308" i="2"/>
  <c r="AB308" i="2"/>
  <c r="AK308" i="2"/>
  <c r="AP309" i="2"/>
  <c r="AN309" i="2"/>
  <c r="V308" i="2"/>
  <c r="AO309" i="2"/>
  <c r="P308" i="2"/>
  <c r="H309" i="2"/>
  <c r="E309" i="2"/>
  <c r="D310" i="2"/>
  <c r="AR308" i="2"/>
  <c r="AQ308" i="2"/>
  <c r="O308" i="2" l="1"/>
  <c r="AI309" i="2"/>
  <c r="J309" i="2"/>
  <c r="U308" i="2"/>
  <c r="AL309" i="2"/>
  <c r="I309" i="2" l="1"/>
  <c r="N309" i="2"/>
  <c r="M309" i="2"/>
  <c r="K309" i="2"/>
  <c r="AM310" i="2"/>
  <c r="L309" i="2"/>
  <c r="AK309" i="2"/>
  <c r="AB309" i="2"/>
  <c r="AP310" i="2"/>
  <c r="AN310" i="2"/>
  <c r="V309" i="2"/>
  <c r="P309" i="2"/>
  <c r="AO310" i="2"/>
  <c r="H310" i="2"/>
  <c r="E310" i="2"/>
  <c r="D311" i="2"/>
  <c r="AR309" i="2"/>
  <c r="AQ309" i="2"/>
  <c r="O309" i="2" l="1"/>
  <c r="AI310" i="2"/>
  <c r="J310" i="2"/>
  <c r="AL310" i="2"/>
  <c r="U309" i="2"/>
  <c r="I310" i="2" l="1"/>
  <c r="N310" i="2"/>
  <c r="M310" i="2"/>
  <c r="K310" i="2"/>
  <c r="AM311" i="2"/>
  <c r="L310" i="2"/>
  <c r="AK310" i="2"/>
  <c r="AB310" i="2"/>
  <c r="AP311" i="2"/>
  <c r="AN311" i="2"/>
  <c r="V310" i="2"/>
  <c r="P310" i="2"/>
  <c r="AO311" i="2"/>
  <c r="H311" i="2"/>
  <c r="E311" i="2"/>
  <c r="D312" i="2"/>
  <c r="AR310" i="2"/>
  <c r="AQ310" i="2"/>
  <c r="O310" i="2" l="1"/>
  <c r="AI311" i="2"/>
  <c r="J311" i="2"/>
  <c r="U310" i="2"/>
  <c r="AL311" i="2"/>
  <c r="I311" i="2" l="1"/>
  <c r="N311" i="2"/>
  <c r="M311" i="2"/>
  <c r="K311" i="2"/>
  <c r="AM312" i="2"/>
  <c r="L311" i="2"/>
  <c r="AB311" i="2"/>
  <c r="AK311" i="2"/>
  <c r="AP312" i="2"/>
  <c r="AN312" i="2"/>
  <c r="V311" i="2"/>
  <c r="AO312" i="2"/>
  <c r="P311" i="2"/>
  <c r="H312" i="2"/>
  <c r="E312" i="2"/>
  <c r="D313" i="2"/>
  <c r="AR311" i="2"/>
  <c r="AQ311" i="2"/>
  <c r="O311" i="2" l="1"/>
  <c r="AI312" i="2"/>
  <c r="J312" i="2"/>
  <c r="AL312" i="2"/>
  <c r="U311" i="2"/>
  <c r="I312" i="2" l="1"/>
  <c r="N312" i="2"/>
  <c r="M312" i="2"/>
  <c r="K312" i="2"/>
  <c r="AM313" i="2"/>
  <c r="L312" i="2"/>
  <c r="AB312" i="2"/>
  <c r="AK312" i="2"/>
  <c r="AP313" i="2"/>
  <c r="AN313" i="2"/>
  <c r="V312" i="2"/>
  <c r="AO313" i="2"/>
  <c r="P312" i="2"/>
  <c r="H313" i="2"/>
  <c r="E313" i="2"/>
  <c r="D314" i="2"/>
  <c r="AR312" i="2"/>
  <c r="AQ312" i="2"/>
  <c r="O312" i="2" l="1"/>
  <c r="AI313" i="2"/>
  <c r="J313" i="2"/>
  <c r="AL313" i="2"/>
  <c r="U312" i="2"/>
  <c r="I313" i="2" l="1"/>
  <c r="N313" i="2"/>
  <c r="M313" i="2"/>
  <c r="K313" i="2"/>
  <c r="AM314" i="2"/>
  <c r="L313" i="2"/>
  <c r="AK313" i="2"/>
  <c r="AB313" i="2"/>
  <c r="AP314" i="2"/>
  <c r="AN314" i="2"/>
  <c r="V313" i="2"/>
  <c r="P313" i="2"/>
  <c r="AO314" i="2"/>
  <c r="H314" i="2"/>
  <c r="E314" i="2"/>
  <c r="D315" i="2"/>
  <c r="AR313" i="2"/>
  <c r="AQ313" i="2"/>
  <c r="O313" i="2" l="1"/>
  <c r="AI314" i="2"/>
  <c r="J314" i="2"/>
  <c r="U313" i="2"/>
  <c r="AL314" i="2"/>
  <c r="I314" i="2" l="1"/>
  <c r="N314" i="2"/>
  <c r="M314" i="2"/>
  <c r="K314" i="2"/>
  <c r="AM315" i="2"/>
  <c r="L314" i="2"/>
  <c r="AB314" i="2"/>
  <c r="AK314" i="2"/>
  <c r="AP315" i="2"/>
  <c r="AN315" i="2"/>
  <c r="V314" i="2"/>
  <c r="AO315" i="2"/>
  <c r="P314" i="2"/>
  <c r="H315" i="2"/>
  <c r="E315" i="2"/>
  <c r="D316" i="2"/>
  <c r="AR314" i="2"/>
  <c r="AQ314" i="2"/>
  <c r="O314" i="2" l="1"/>
  <c r="AI315" i="2"/>
  <c r="J315" i="2"/>
  <c r="AL315" i="2"/>
  <c r="U314" i="2"/>
  <c r="I315" i="2" l="1"/>
  <c r="N315" i="2"/>
  <c r="M315" i="2"/>
  <c r="K315" i="2"/>
  <c r="AM316" i="2"/>
  <c r="L315" i="2"/>
  <c r="AK315" i="2"/>
  <c r="AB315" i="2"/>
  <c r="AP316" i="2"/>
  <c r="AN316" i="2"/>
  <c r="V315" i="2"/>
  <c r="P315" i="2"/>
  <c r="AO316" i="2"/>
  <c r="H316" i="2"/>
  <c r="E316" i="2"/>
  <c r="D317" i="2"/>
  <c r="AR315" i="2"/>
  <c r="AQ315" i="2"/>
  <c r="O315" i="2" l="1"/>
  <c r="AI316" i="2"/>
  <c r="J316" i="2"/>
  <c r="AL316" i="2"/>
  <c r="U315" i="2"/>
  <c r="I316" i="2" l="1"/>
  <c r="N316" i="2"/>
  <c r="M316" i="2"/>
  <c r="K316" i="2"/>
  <c r="AM317" i="2"/>
  <c r="L316" i="2"/>
  <c r="AK316" i="2"/>
  <c r="AB316" i="2"/>
  <c r="AP317" i="2"/>
  <c r="AN317" i="2"/>
  <c r="V316" i="2"/>
  <c r="AO317" i="2"/>
  <c r="P316" i="2"/>
  <c r="H317" i="2"/>
  <c r="E317" i="2"/>
  <c r="D318" i="2"/>
  <c r="AR316" i="2"/>
  <c r="AQ316" i="2"/>
  <c r="O316" i="2" l="1"/>
  <c r="AI317" i="2"/>
  <c r="J317" i="2"/>
  <c r="U316" i="2"/>
  <c r="AL317" i="2"/>
  <c r="I317" i="2" l="1"/>
  <c r="N317" i="2"/>
  <c r="M317" i="2"/>
  <c r="K317" i="2"/>
  <c r="AM318" i="2"/>
  <c r="L317" i="2"/>
  <c r="AB317" i="2"/>
  <c r="AK317" i="2"/>
  <c r="AP318" i="2"/>
  <c r="AN318" i="2"/>
  <c r="V317" i="2"/>
  <c r="P317" i="2"/>
  <c r="AO318" i="2"/>
  <c r="H318" i="2" s="1"/>
  <c r="E318" i="2"/>
  <c r="D319" i="2"/>
  <c r="AR317" i="2"/>
  <c r="AQ317" i="2"/>
  <c r="O317" i="2" l="1"/>
  <c r="AI318" i="2"/>
  <c r="J318" i="2"/>
  <c r="AL318" i="2"/>
  <c r="U317" i="2"/>
  <c r="I318" i="2" l="1"/>
  <c r="N318" i="2"/>
  <c r="M318" i="2"/>
  <c r="K318" i="2"/>
  <c r="AM319" i="2"/>
  <c r="L318" i="2"/>
  <c r="AB318" i="2"/>
  <c r="AK318" i="2"/>
  <c r="AP319" i="2"/>
  <c r="AN319" i="2"/>
  <c r="V318" i="2"/>
  <c r="AO319" i="2"/>
  <c r="P318" i="2"/>
  <c r="H319" i="2"/>
  <c r="E319" i="2"/>
  <c r="D320" i="2"/>
  <c r="AR318" i="2"/>
  <c r="AQ318" i="2"/>
  <c r="O318" i="2" l="1"/>
  <c r="AI319" i="2"/>
  <c r="J319" i="2"/>
  <c r="AL319" i="2"/>
  <c r="U318" i="2"/>
  <c r="I319" i="2" l="1"/>
  <c r="N319" i="2"/>
  <c r="M319" i="2"/>
  <c r="K319" i="2"/>
  <c r="AM320" i="2"/>
  <c r="L319" i="2"/>
  <c r="AB319" i="2"/>
  <c r="AK319" i="2"/>
  <c r="AP320" i="2"/>
  <c r="AN320" i="2"/>
  <c r="V319" i="2"/>
  <c r="P319" i="2"/>
  <c r="AO320" i="2"/>
  <c r="H320" i="2" s="1"/>
  <c r="E320" i="2"/>
  <c r="D321" i="2"/>
  <c r="AR319" i="2"/>
  <c r="AQ319" i="2"/>
  <c r="O319" i="2" l="1"/>
  <c r="AI320" i="2"/>
  <c r="J320" i="2"/>
  <c r="U319" i="2"/>
  <c r="AL320" i="2"/>
  <c r="I320" i="2" l="1"/>
  <c r="N320" i="2"/>
  <c r="M320" i="2"/>
  <c r="K320" i="2"/>
  <c r="AM321" i="2"/>
  <c r="L320" i="2"/>
  <c r="AK320" i="2"/>
  <c r="AB320" i="2"/>
  <c r="AP321" i="2"/>
  <c r="AN321" i="2"/>
  <c r="V320" i="2"/>
  <c r="P320" i="2"/>
  <c r="AO321" i="2"/>
  <c r="H321" i="2"/>
  <c r="E321" i="2"/>
  <c r="D322" i="2"/>
  <c r="AR320" i="2"/>
  <c r="AQ320" i="2"/>
  <c r="O320" i="2" l="1"/>
  <c r="AI321" i="2"/>
  <c r="J321" i="2"/>
  <c r="U320" i="2"/>
  <c r="AL321" i="2"/>
  <c r="I321" i="2" l="1"/>
  <c r="N321" i="2"/>
  <c r="M321" i="2"/>
  <c r="K321" i="2"/>
  <c r="AM322" i="2"/>
  <c r="L321" i="2"/>
  <c r="AK321" i="2"/>
  <c r="AB321" i="2"/>
  <c r="AP322" i="2"/>
  <c r="AN322" i="2"/>
  <c r="V321" i="2"/>
  <c r="P321" i="2"/>
  <c r="AO322" i="2"/>
  <c r="H322" i="2"/>
  <c r="E322" i="2"/>
  <c r="D323" i="2"/>
  <c r="AR321" i="2"/>
  <c r="AQ321" i="2"/>
  <c r="O321" i="2" l="1"/>
  <c r="AI322" i="2"/>
  <c r="J322" i="2"/>
  <c r="AL322" i="2"/>
  <c r="U321" i="2"/>
  <c r="I322" i="2" l="1"/>
  <c r="N322" i="2"/>
  <c r="M322" i="2"/>
  <c r="K322" i="2"/>
  <c r="AM323" i="2"/>
  <c r="L322" i="2"/>
  <c r="AB322" i="2"/>
  <c r="AK322" i="2"/>
  <c r="AP323" i="2"/>
  <c r="AN323" i="2"/>
  <c r="V322" i="2"/>
  <c r="AO323" i="2"/>
  <c r="H323" i="2"/>
  <c r="P322" i="2"/>
  <c r="E323" i="2"/>
  <c r="D324" i="2"/>
  <c r="AR322" i="2"/>
  <c r="AQ322" i="2"/>
  <c r="O322" i="2" l="1"/>
  <c r="AI323" i="2"/>
  <c r="J323" i="2"/>
  <c r="AL323" i="2"/>
  <c r="U322" i="2"/>
  <c r="I323" i="2" l="1"/>
  <c r="N323" i="2"/>
  <c r="M323" i="2"/>
  <c r="K323" i="2"/>
  <c r="AM324" i="2"/>
  <c r="L323" i="2"/>
  <c r="AB323" i="2"/>
  <c r="AK323" i="2"/>
  <c r="AP324" i="2"/>
  <c r="AN324" i="2"/>
  <c r="V323" i="2"/>
  <c r="AO324" i="2"/>
  <c r="P323" i="2"/>
  <c r="H324" i="2"/>
  <c r="E324" i="2"/>
  <c r="D325" i="2"/>
  <c r="AR323" i="2"/>
  <c r="AQ323" i="2"/>
  <c r="O323" i="2" l="1"/>
  <c r="AI324" i="2"/>
  <c r="J324" i="2"/>
  <c r="AL324" i="2"/>
  <c r="U323" i="2"/>
  <c r="I324" i="2" l="1"/>
  <c r="N324" i="2"/>
  <c r="M324" i="2"/>
  <c r="K324" i="2"/>
  <c r="AM325" i="2"/>
  <c r="L324" i="2"/>
  <c r="AB324" i="2"/>
  <c r="AK324" i="2"/>
  <c r="AP325" i="2"/>
  <c r="AN325" i="2"/>
  <c r="V324" i="2"/>
  <c r="AO325" i="2"/>
  <c r="P324" i="2"/>
  <c r="H325" i="2"/>
  <c r="E325" i="2"/>
  <c r="D326" i="2"/>
  <c r="AR324" i="2"/>
  <c r="AQ324" i="2"/>
  <c r="O324" i="2" l="1"/>
  <c r="AI325" i="2"/>
  <c r="J325" i="2"/>
  <c r="AL325" i="2"/>
  <c r="U324" i="2"/>
  <c r="I325" i="2" l="1"/>
  <c r="N325" i="2"/>
  <c r="M325" i="2"/>
  <c r="K325" i="2"/>
  <c r="AM326" i="2"/>
  <c r="L325" i="2"/>
  <c r="AK325" i="2"/>
  <c r="AB325" i="2"/>
  <c r="AP326" i="2"/>
  <c r="AN326" i="2"/>
  <c r="V325" i="2"/>
  <c r="P325" i="2"/>
  <c r="AO326" i="2"/>
  <c r="H326" i="2"/>
  <c r="E326" i="2"/>
  <c r="D327" i="2"/>
  <c r="AR325" i="2"/>
  <c r="AQ325" i="2"/>
  <c r="O325" i="2" l="1"/>
  <c r="AI326" i="2"/>
  <c r="J326" i="2"/>
  <c r="AL326" i="2"/>
  <c r="U325" i="2"/>
  <c r="I326" i="2" l="1"/>
  <c r="N326" i="2"/>
  <c r="M326" i="2"/>
  <c r="K326" i="2"/>
  <c r="AM327" i="2"/>
  <c r="L326" i="2"/>
  <c r="AK326" i="2"/>
  <c r="AB326" i="2"/>
  <c r="AP327" i="2"/>
  <c r="AN327" i="2"/>
  <c r="V326" i="2"/>
  <c r="P326" i="2"/>
  <c r="AO327" i="2"/>
  <c r="H327" i="2"/>
  <c r="E327" i="2"/>
  <c r="D328" i="2"/>
  <c r="AR326" i="2"/>
  <c r="AQ326" i="2"/>
  <c r="O326" i="2" l="1"/>
  <c r="AI327" i="2"/>
  <c r="J327" i="2"/>
  <c r="AL327" i="2"/>
  <c r="U326" i="2"/>
  <c r="I327" i="2" l="1"/>
  <c r="N327" i="2"/>
  <c r="M327" i="2"/>
  <c r="K327" i="2"/>
  <c r="AM328" i="2"/>
  <c r="L327" i="2"/>
  <c r="AB327" i="2"/>
  <c r="AK327" i="2"/>
  <c r="AP328" i="2"/>
  <c r="AN328" i="2"/>
  <c r="V327" i="2"/>
  <c r="AO328" i="2"/>
  <c r="P327" i="2"/>
  <c r="H328" i="2"/>
  <c r="E328" i="2"/>
  <c r="D329" i="2"/>
  <c r="AR327" i="2"/>
  <c r="AQ327" i="2"/>
  <c r="O327" i="2" l="1"/>
  <c r="AI328" i="2"/>
  <c r="J328" i="2"/>
  <c r="AL328" i="2"/>
  <c r="U327" i="2"/>
  <c r="I328" i="2" l="1"/>
  <c r="N328" i="2"/>
  <c r="M328" i="2"/>
  <c r="K328" i="2"/>
  <c r="AM329" i="2"/>
  <c r="L328" i="2"/>
  <c r="AB328" i="2"/>
  <c r="AK328" i="2"/>
  <c r="AP329" i="2"/>
  <c r="AN329" i="2"/>
  <c r="V328" i="2"/>
  <c r="AO329" i="2"/>
  <c r="P328" i="2"/>
  <c r="H329" i="2"/>
  <c r="E329" i="2"/>
  <c r="D330" i="2"/>
  <c r="AR328" i="2"/>
  <c r="AQ328" i="2"/>
  <c r="O328" i="2" l="1"/>
  <c r="O329" i="2"/>
  <c r="J329" i="2"/>
  <c r="AI329" i="2"/>
  <c r="U328" i="2"/>
  <c r="AL329" i="2"/>
  <c r="I329" i="2" l="1"/>
  <c r="N329" i="2"/>
  <c r="M329" i="2"/>
  <c r="K329" i="2"/>
  <c r="AM330" i="2"/>
  <c r="L329" i="2"/>
  <c r="AB329" i="2"/>
  <c r="AK329" i="2"/>
  <c r="AP330" i="2"/>
  <c r="AN330" i="2"/>
  <c r="AQ330" i="2"/>
  <c r="V329" i="2"/>
  <c r="AO330" i="2"/>
  <c r="P329" i="2"/>
  <c r="H330" i="2"/>
  <c r="E330" i="2"/>
  <c r="D331" i="2"/>
  <c r="AR329" i="2"/>
  <c r="AQ329" i="2"/>
  <c r="AI330" i="2" l="1"/>
  <c r="J330" i="2"/>
  <c r="I330" i="2"/>
  <c r="O330" i="2"/>
  <c r="AL330" i="2"/>
  <c r="AM331" i="2"/>
  <c r="K330" i="2"/>
  <c r="U329" i="2"/>
  <c r="AR330" i="2"/>
  <c r="M330" i="2" l="1"/>
  <c r="L330" i="2"/>
  <c r="AK330" i="2"/>
  <c r="AB330" i="2"/>
  <c r="AP331" i="2"/>
  <c r="AN331" i="2"/>
  <c r="AQ331" i="2"/>
  <c r="V330" i="2"/>
  <c r="AO331" i="2"/>
  <c r="P330" i="2"/>
  <c r="H331" i="2"/>
  <c r="E331" i="2"/>
  <c r="D332" i="2"/>
  <c r="AI331" i="2" l="1"/>
  <c r="J331" i="2"/>
  <c r="I331" i="2"/>
  <c r="O331" i="2"/>
  <c r="AL331" i="2"/>
  <c r="U330" i="2"/>
  <c r="AM332" i="2"/>
  <c r="K331" i="2"/>
  <c r="AR331" i="2"/>
  <c r="M331" i="2" l="1"/>
  <c r="L331" i="2"/>
  <c r="AB331" i="2"/>
  <c r="AK331" i="2"/>
  <c r="AP332" i="2"/>
  <c r="AN332" i="2"/>
  <c r="AQ332" i="2"/>
  <c r="V331" i="2"/>
  <c r="P331" i="2"/>
  <c r="AO332" i="2"/>
  <c r="H332" i="2"/>
  <c r="E332" i="2"/>
  <c r="D333" i="2"/>
  <c r="I332" i="2" l="1"/>
  <c r="AI332" i="2"/>
  <c r="J332" i="2"/>
  <c r="O332" i="2"/>
  <c r="U331" i="2"/>
  <c r="AM333" i="2"/>
  <c r="K332" i="2"/>
  <c r="AR332" i="2"/>
  <c r="AL332" i="2"/>
  <c r="M332" i="2" l="1"/>
  <c r="L332" i="2"/>
  <c r="AK332" i="2"/>
  <c r="AB332" i="2"/>
  <c r="AP333" i="2"/>
  <c r="AN333" i="2"/>
  <c r="AQ333" i="2"/>
  <c r="V332" i="2"/>
  <c r="P332" i="2"/>
  <c r="H333" i="2"/>
  <c r="AO333" i="2"/>
  <c r="E333" i="2"/>
  <c r="D334" i="2"/>
  <c r="I333" i="2" l="1"/>
  <c r="AI333" i="2"/>
  <c r="J333" i="2"/>
  <c r="O333" i="2"/>
  <c r="U332" i="2"/>
  <c r="AM334" i="2"/>
  <c r="K333" i="2"/>
  <c r="AR333" i="2"/>
  <c r="AL333" i="2"/>
  <c r="M333" i="2" l="1"/>
  <c r="L333" i="2"/>
  <c r="AK333" i="2"/>
  <c r="AB333" i="2"/>
  <c r="AP334" i="2"/>
  <c r="AN334" i="2"/>
  <c r="AQ334" i="2"/>
  <c r="V333" i="2"/>
  <c r="P333" i="2"/>
  <c r="H334" i="2"/>
  <c r="AO334" i="2"/>
  <c r="E334" i="2"/>
  <c r="D335" i="2"/>
  <c r="AI334" i="2" l="1"/>
  <c r="J334" i="2"/>
  <c r="I334" i="2"/>
  <c r="O334" i="2"/>
  <c r="AL334" i="2"/>
  <c r="AM335" i="2"/>
  <c r="K334" i="2"/>
  <c r="U333" i="2"/>
  <c r="AR334" i="2"/>
  <c r="M334" i="2" l="1"/>
  <c r="L334" i="2"/>
  <c r="AK334" i="2"/>
  <c r="AB334" i="2"/>
  <c r="AP335" i="2"/>
  <c r="AN335" i="2"/>
  <c r="AQ335" i="2"/>
  <c r="V334" i="2"/>
  <c r="P334" i="2"/>
  <c r="AO335" i="2"/>
  <c r="H335" i="2"/>
  <c r="E335" i="2"/>
  <c r="D336" i="2"/>
  <c r="AI335" i="2" l="1"/>
  <c r="J335" i="2"/>
  <c r="I335" i="2"/>
  <c r="O335" i="2"/>
  <c r="AL335" i="2"/>
  <c r="U334" i="2"/>
  <c r="AM336" i="2"/>
  <c r="K335" i="2"/>
  <c r="AR335" i="2"/>
  <c r="M335" i="2" l="1"/>
  <c r="L335" i="2"/>
  <c r="AK335" i="2"/>
  <c r="AB335" i="2"/>
  <c r="AP336" i="2"/>
  <c r="AN336" i="2"/>
  <c r="AQ336" i="2"/>
  <c r="V335" i="2"/>
  <c r="P335" i="2"/>
  <c r="AO336" i="2"/>
  <c r="H336" i="2"/>
  <c r="E336" i="2"/>
  <c r="D337" i="2"/>
  <c r="AI336" i="2" l="1"/>
  <c r="J336" i="2"/>
  <c r="I336" i="2"/>
  <c r="O336" i="2"/>
  <c r="AL336" i="2"/>
  <c r="U335" i="2"/>
  <c r="AM337" i="2"/>
  <c r="K336" i="2"/>
  <c r="AR336" i="2"/>
  <c r="M336" i="2" l="1"/>
  <c r="L336" i="2"/>
  <c r="AK336" i="2"/>
  <c r="AB336" i="2"/>
  <c r="AP337" i="2"/>
  <c r="AN337" i="2"/>
  <c r="AQ337" i="2"/>
  <c r="V336" i="2"/>
  <c r="P336" i="2"/>
  <c r="H337" i="2"/>
  <c r="AO337" i="2"/>
  <c r="E337" i="2"/>
  <c r="D338" i="2"/>
  <c r="AI337" i="2" l="1"/>
  <c r="I337" i="2"/>
  <c r="J337" i="2"/>
  <c r="O337" i="2"/>
  <c r="AM338" i="2"/>
  <c r="K337" i="2"/>
  <c r="AR337" i="2"/>
  <c r="AL337" i="2"/>
  <c r="U336" i="2"/>
  <c r="M337" i="2" l="1"/>
  <c r="L337" i="2"/>
  <c r="AK337" i="2"/>
  <c r="AB337" i="2"/>
  <c r="AP338" i="2"/>
  <c r="AN338" i="2"/>
  <c r="AQ338" i="2"/>
  <c r="V337" i="2"/>
  <c r="AO338" i="2"/>
  <c r="P337" i="2"/>
  <c r="H338" i="2"/>
  <c r="E338" i="2"/>
  <c r="D339" i="2"/>
  <c r="J338" i="2" l="1"/>
  <c r="AI338" i="2"/>
  <c r="I338" i="2"/>
  <c r="O338" i="2"/>
  <c r="AL338" i="2"/>
  <c r="AM339" i="2"/>
  <c r="K338" i="2"/>
  <c r="U337" i="2"/>
  <c r="AR338" i="2"/>
  <c r="M338" i="2" l="1"/>
  <c r="L338" i="2"/>
  <c r="AK338" i="2"/>
  <c r="AB338" i="2"/>
  <c r="AP339" i="2"/>
  <c r="AN339" i="2"/>
  <c r="AQ339" i="2"/>
  <c r="V338" i="2"/>
  <c r="P338" i="2"/>
  <c r="AO339" i="2"/>
  <c r="H339" i="2"/>
  <c r="E339" i="2"/>
  <c r="D340" i="2"/>
  <c r="AI339" i="2" l="1"/>
  <c r="J339" i="2"/>
  <c r="I339" i="2"/>
  <c r="O339" i="2"/>
  <c r="U338" i="2"/>
  <c r="AL339" i="2"/>
  <c r="AM340" i="2"/>
  <c r="K339" i="2"/>
  <c r="AR339" i="2"/>
  <c r="M339" i="2" l="1"/>
  <c r="L339" i="2"/>
  <c r="AB339" i="2"/>
  <c r="AK339" i="2"/>
  <c r="AP340" i="2"/>
  <c r="AN340" i="2"/>
  <c r="AQ340" i="2"/>
  <c r="V339" i="2"/>
  <c r="P339" i="2"/>
  <c r="H340" i="2"/>
  <c r="AO340" i="2"/>
  <c r="E340" i="2"/>
  <c r="D341" i="2"/>
  <c r="AI340" i="2" l="1"/>
  <c r="J340" i="2"/>
  <c r="I340" i="2"/>
  <c r="O340" i="2"/>
  <c r="AM341" i="2"/>
  <c r="K340" i="2"/>
  <c r="U339" i="2"/>
  <c r="AR340" i="2"/>
  <c r="AL340" i="2"/>
  <c r="M340" i="2" l="1"/>
  <c r="L340" i="2"/>
  <c r="AB340" i="2"/>
  <c r="AK340" i="2"/>
  <c r="AP341" i="2"/>
  <c r="AN341" i="2"/>
  <c r="AQ341" i="2"/>
  <c r="V340" i="2"/>
  <c r="P340" i="2"/>
  <c r="AO341" i="2"/>
  <c r="H341" i="2"/>
  <c r="E341" i="2"/>
  <c r="D342" i="2"/>
  <c r="AI341" i="2" l="1"/>
  <c r="J341" i="2"/>
  <c r="I341" i="2"/>
  <c r="O341" i="2"/>
  <c r="AM342" i="2"/>
  <c r="K341" i="2"/>
  <c r="AR341" i="2"/>
  <c r="AL341" i="2"/>
  <c r="U340" i="2"/>
  <c r="M341" i="2" l="1"/>
  <c r="L341" i="2"/>
  <c r="AK341" i="2"/>
  <c r="AB341" i="2"/>
  <c r="AP342" i="2"/>
  <c r="AN342" i="2"/>
  <c r="AQ342" i="2"/>
  <c r="V341" i="2"/>
  <c r="AO342" i="2"/>
  <c r="P341" i="2"/>
  <c r="H342" i="2"/>
  <c r="E342" i="2"/>
  <c r="D343" i="2"/>
  <c r="AI342" i="2" l="1"/>
  <c r="J342" i="2"/>
  <c r="I342" i="2"/>
  <c r="O342" i="2"/>
  <c r="AM343" i="2"/>
  <c r="K342" i="2"/>
  <c r="AR342" i="2"/>
  <c r="AL342" i="2"/>
  <c r="U341" i="2"/>
  <c r="M342" i="2" l="1"/>
  <c r="L342" i="2"/>
  <c r="AK342" i="2"/>
  <c r="AB342" i="2"/>
  <c r="AP343" i="2"/>
  <c r="AN343" i="2"/>
  <c r="AQ343" i="2"/>
  <c r="V342" i="2"/>
  <c r="P342" i="2"/>
  <c r="AO343" i="2"/>
  <c r="H343" i="2"/>
  <c r="E343" i="2"/>
  <c r="D344" i="2"/>
  <c r="AI343" i="2" l="1"/>
  <c r="J343" i="2"/>
  <c r="I343" i="2"/>
  <c r="O343" i="2"/>
  <c r="AM344" i="2"/>
  <c r="K343" i="2"/>
  <c r="AR343" i="2"/>
  <c r="AL343" i="2"/>
  <c r="U342" i="2"/>
  <c r="M343" i="2" l="1"/>
  <c r="L343" i="2"/>
  <c r="AB343" i="2"/>
  <c r="AK343" i="2"/>
  <c r="AP344" i="2"/>
  <c r="AN344" i="2"/>
  <c r="AQ344" i="2"/>
  <c r="V343" i="2"/>
  <c r="AO344" i="2"/>
  <c r="P343" i="2"/>
  <c r="H344" i="2"/>
  <c r="E344" i="2"/>
  <c r="D345" i="2"/>
  <c r="AI344" i="2" l="1"/>
  <c r="J344" i="2"/>
  <c r="I344" i="2"/>
  <c r="O344" i="2"/>
  <c r="AL344" i="2"/>
  <c r="AM345" i="2"/>
  <c r="K344" i="2"/>
  <c r="U343" i="2"/>
  <c r="AR344" i="2"/>
  <c r="M344" i="2" l="1"/>
  <c r="L344" i="2"/>
  <c r="AB344" i="2"/>
  <c r="AK344" i="2"/>
  <c r="AP345" i="2"/>
  <c r="AN345" i="2"/>
  <c r="AQ345" i="2"/>
  <c r="V344" i="2"/>
  <c r="AO345" i="2"/>
  <c r="P344" i="2"/>
  <c r="H345" i="2"/>
  <c r="E345" i="2"/>
  <c r="D346" i="2"/>
  <c r="AI345" i="2" l="1"/>
  <c r="I345" i="2"/>
  <c r="J345" i="2"/>
  <c r="O345" i="2"/>
  <c r="AL345" i="2"/>
  <c r="AM346" i="2"/>
  <c r="K345" i="2"/>
  <c r="U344" i="2"/>
  <c r="AR345" i="2"/>
  <c r="M345" i="2" l="1"/>
  <c r="L345" i="2"/>
  <c r="AB345" i="2"/>
  <c r="AK345" i="2"/>
  <c r="AP346" i="2"/>
  <c r="AN346" i="2"/>
  <c r="AQ346" i="2"/>
  <c r="V345" i="2"/>
  <c r="P345" i="2"/>
  <c r="H346" i="2"/>
  <c r="AO346" i="2"/>
  <c r="E346" i="2"/>
  <c r="D347" i="2"/>
  <c r="AI346" i="2" l="1"/>
  <c r="J346" i="2"/>
  <c r="I346" i="2"/>
  <c r="O346" i="2"/>
  <c r="AM347" i="2"/>
  <c r="K346" i="2"/>
  <c r="AR346" i="2"/>
  <c r="AL346" i="2"/>
  <c r="U345" i="2"/>
  <c r="M346" i="2" l="1"/>
  <c r="L346" i="2"/>
  <c r="AK346" i="2"/>
  <c r="AB346" i="2"/>
  <c r="AP347" i="2"/>
  <c r="AN347" i="2"/>
  <c r="AQ347" i="2"/>
  <c r="V346" i="2"/>
  <c r="AO347" i="2"/>
  <c r="H347" i="2"/>
  <c r="P346" i="2"/>
  <c r="E347" i="2"/>
  <c r="D348" i="2"/>
  <c r="AI347" i="2" l="1"/>
  <c r="I347" i="2"/>
  <c r="J347" i="2"/>
  <c r="O347" i="2"/>
  <c r="AL347" i="2"/>
  <c r="AM348" i="2"/>
  <c r="K347" i="2"/>
  <c r="U346" i="2"/>
  <c r="AR347" i="2"/>
  <c r="M347" i="2" l="1"/>
  <c r="L347" i="2"/>
  <c r="AB347" i="2"/>
  <c r="AK347" i="2"/>
  <c r="AP348" i="2"/>
  <c r="AN348" i="2"/>
  <c r="AQ348" i="2"/>
  <c r="V347" i="2"/>
  <c r="P347" i="2"/>
  <c r="AO348" i="2"/>
  <c r="H348" i="2"/>
  <c r="E348" i="2"/>
  <c r="D349" i="2"/>
  <c r="AI348" i="2" l="1"/>
  <c r="J348" i="2"/>
  <c r="I348" i="2"/>
  <c r="O348" i="2"/>
  <c r="AM349" i="2"/>
  <c r="K348" i="2"/>
  <c r="AR348" i="2"/>
  <c r="AL348" i="2"/>
  <c r="U347" i="2"/>
  <c r="M348" i="2" l="1"/>
  <c r="L348" i="2"/>
  <c r="AK348" i="2"/>
  <c r="AB348" i="2"/>
  <c r="AP349" i="2"/>
  <c r="AN349" i="2"/>
  <c r="AQ349" i="2"/>
  <c r="V348" i="2"/>
  <c r="AO349" i="2"/>
  <c r="P348" i="2"/>
  <c r="H349" i="2"/>
  <c r="E349" i="2"/>
  <c r="D350" i="2"/>
  <c r="AI349" i="2" l="1"/>
  <c r="J349" i="2"/>
  <c r="I349" i="2"/>
  <c r="O349" i="2"/>
  <c r="AL349" i="2"/>
  <c r="U348" i="2"/>
  <c r="AM350" i="2"/>
  <c r="K349" i="2"/>
  <c r="AR349" i="2"/>
  <c r="M349" i="2" l="1"/>
  <c r="L349" i="2"/>
  <c r="AK349" i="2"/>
  <c r="AB349" i="2"/>
  <c r="AP350" i="2"/>
  <c r="AN350" i="2"/>
  <c r="AQ350" i="2"/>
  <c r="V349" i="2"/>
  <c r="P349" i="2"/>
  <c r="H350" i="2"/>
  <c r="AO350" i="2"/>
  <c r="E350" i="2"/>
  <c r="D351" i="2"/>
  <c r="AI350" i="2" l="1"/>
  <c r="J350" i="2"/>
  <c r="I350" i="2"/>
  <c r="O350" i="2"/>
  <c r="AL350" i="2"/>
  <c r="AM351" i="2"/>
  <c r="K350" i="2"/>
  <c r="U349" i="2"/>
  <c r="AR350" i="2"/>
  <c r="M350" i="2" l="1"/>
  <c r="L350" i="2"/>
  <c r="AB350" i="2"/>
  <c r="AK350" i="2"/>
  <c r="AP351" i="2"/>
  <c r="AN351" i="2"/>
  <c r="AQ351" i="2"/>
  <c r="V350" i="2"/>
  <c r="P350" i="2"/>
  <c r="H351" i="2"/>
  <c r="AO351" i="2"/>
  <c r="E351" i="2"/>
  <c r="D352" i="2"/>
  <c r="AI351" i="2" l="1"/>
  <c r="I351" i="2"/>
  <c r="J351" i="2"/>
  <c r="O351" i="2"/>
  <c r="AL351" i="2"/>
  <c r="AM352" i="2"/>
  <c r="K351" i="2"/>
  <c r="U350" i="2"/>
  <c r="AR351" i="2"/>
  <c r="M351" i="2" l="1"/>
  <c r="L351" i="2"/>
  <c r="AK351" i="2"/>
  <c r="AB351" i="2"/>
  <c r="AP352" i="2"/>
  <c r="AN352" i="2"/>
  <c r="AQ352" i="2"/>
  <c r="V351" i="2"/>
  <c r="H352" i="2"/>
  <c r="P351" i="2"/>
  <c r="AO352" i="2"/>
  <c r="E352" i="2"/>
  <c r="D353" i="2"/>
  <c r="J352" i="2" l="1"/>
  <c r="I352" i="2"/>
  <c r="AI352" i="2"/>
  <c r="O352" i="2"/>
  <c r="AL352" i="2"/>
  <c r="AM353" i="2"/>
  <c r="K352" i="2"/>
  <c r="U351" i="2"/>
  <c r="AR352" i="2"/>
  <c r="M352" i="2" l="1"/>
  <c r="L352" i="2"/>
  <c r="AK352" i="2"/>
  <c r="AB352" i="2"/>
  <c r="AP353" i="2"/>
  <c r="AN353" i="2"/>
  <c r="AQ353" i="2"/>
  <c r="V352" i="2"/>
  <c r="AO353" i="2"/>
  <c r="P352" i="2"/>
  <c r="H353" i="2"/>
  <c r="E353" i="2"/>
  <c r="D354" i="2"/>
  <c r="AI353" i="2" l="1"/>
  <c r="J353" i="2"/>
  <c r="I353" i="2"/>
  <c r="O353" i="2"/>
  <c r="AL353" i="2"/>
  <c r="U352" i="2"/>
  <c r="AM354" i="2"/>
  <c r="K353" i="2"/>
  <c r="AR353" i="2"/>
  <c r="M353" i="2" l="1"/>
  <c r="L353" i="2"/>
  <c r="AB353" i="2"/>
  <c r="AK353" i="2"/>
  <c r="AP354" i="2"/>
  <c r="AN354" i="2"/>
  <c r="AQ354" i="2"/>
  <c r="V353" i="2"/>
  <c r="P353" i="2"/>
  <c r="H354" i="2"/>
  <c r="AO354" i="2"/>
  <c r="E354" i="2"/>
  <c r="D355" i="2"/>
  <c r="AI354" i="2" l="1"/>
  <c r="I354" i="2"/>
  <c r="J354" i="2"/>
  <c r="O354" i="2"/>
  <c r="AL354" i="2"/>
  <c r="AM355" i="2"/>
  <c r="K354" i="2"/>
  <c r="U353" i="2"/>
  <c r="AR354" i="2"/>
  <c r="M354" i="2" l="1"/>
  <c r="L354" i="2"/>
  <c r="AK354" i="2"/>
  <c r="AB354" i="2"/>
  <c r="AP355" i="2"/>
  <c r="AN355" i="2"/>
  <c r="AQ355" i="2"/>
  <c r="V354" i="2"/>
  <c r="AO355" i="2"/>
  <c r="P354" i="2"/>
  <c r="H355" i="2"/>
  <c r="E355" i="2"/>
  <c r="D356" i="2"/>
  <c r="AI355" i="2" l="1"/>
  <c r="I355" i="2"/>
  <c r="J355" i="2"/>
  <c r="O355" i="2"/>
  <c r="AM356" i="2"/>
  <c r="K355" i="2"/>
  <c r="AR355" i="2"/>
  <c r="AL355" i="2"/>
  <c r="U354" i="2"/>
  <c r="M355" i="2" l="1"/>
  <c r="L355" i="2"/>
  <c r="AK355" i="2"/>
  <c r="AB355" i="2"/>
  <c r="AP356" i="2"/>
  <c r="AN356" i="2"/>
  <c r="AQ356" i="2"/>
  <c r="V355" i="2"/>
  <c r="AO356" i="2"/>
  <c r="P355" i="2"/>
  <c r="H356" i="2"/>
  <c r="E356" i="2"/>
  <c r="D357" i="2"/>
  <c r="J356" i="2" l="1"/>
  <c r="I356" i="2"/>
  <c r="AI356" i="2"/>
  <c r="O356" i="2"/>
  <c r="AL356" i="2"/>
  <c r="AM357" i="2"/>
  <c r="K356" i="2"/>
  <c r="U355" i="2"/>
  <c r="AR356" i="2"/>
  <c r="M356" i="2" l="1"/>
  <c r="L356" i="2"/>
  <c r="AK356" i="2"/>
  <c r="AB356" i="2"/>
  <c r="AP357" i="2"/>
  <c r="AN357" i="2"/>
  <c r="AQ357" i="2"/>
  <c r="V356" i="2"/>
  <c r="AO357" i="2"/>
  <c r="P356" i="2"/>
  <c r="H357" i="2"/>
  <c r="E357" i="2"/>
  <c r="D358" i="2"/>
  <c r="AI357" i="2" l="1"/>
  <c r="J357" i="2"/>
  <c r="I357" i="2"/>
  <c r="O357" i="2"/>
  <c r="AM358" i="2"/>
  <c r="K357" i="2"/>
  <c r="AR357" i="2"/>
  <c r="AL357" i="2"/>
  <c r="U356" i="2"/>
  <c r="M357" i="2" l="1"/>
  <c r="L357" i="2"/>
  <c r="AB357" i="2"/>
  <c r="AK357" i="2"/>
  <c r="AP358" i="2"/>
  <c r="AN358" i="2"/>
  <c r="AQ358" i="2"/>
  <c r="V357" i="2"/>
  <c r="AO358" i="2"/>
  <c r="P357" i="2"/>
  <c r="H358" i="2"/>
  <c r="E358" i="2"/>
  <c r="D359" i="2"/>
  <c r="I358" i="2" l="1"/>
  <c r="AI358" i="2"/>
  <c r="J358" i="2"/>
  <c r="O358" i="2"/>
  <c r="AL358" i="2"/>
  <c r="AM359" i="2"/>
  <c r="K358" i="2"/>
  <c r="U357" i="2"/>
  <c r="AR358" i="2"/>
  <c r="M358" i="2" l="1"/>
  <c r="L358" i="2"/>
  <c r="AK358" i="2"/>
  <c r="AB358" i="2"/>
  <c r="AP359" i="2"/>
  <c r="AN359" i="2"/>
  <c r="AQ359" i="2"/>
  <c r="V358" i="2"/>
  <c r="P358" i="2"/>
  <c r="H359" i="2"/>
  <c r="AO359" i="2"/>
  <c r="E359" i="2"/>
  <c r="D360" i="2"/>
  <c r="AI359" i="2" l="1"/>
  <c r="I359" i="2"/>
  <c r="J359" i="2"/>
  <c r="O359" i="2"/>
  <c r="U358" i="2"/>
  <c r="AM360" i="2"/>
  <c r="K359" i="2"/>
  <c r="AR359" i="2"/>
  <c r="AL359" i="2"/>
  <c r="M359" i="2" l="1"/>
  <c r="L359" i="2"/>
  <c r="AK359" i="2"/>
  <c r="AB359" i="2"/>
  <c r="AP360" i="2"/>
  <c r="AN360" i="2"/>
  <c r="AQ360" i="2"/>
  <c r="V359" i="2"/>
  <c r="AO360" i="2"/>
  <c r="P359" i="2"/>
  <c r="H360" i="2"/>
  <c r="E360" i="2"/>
  <c r="D361" i="2"/>
  <c r="J360" i="2" l="1"/>
  <c r="AI360" i="2"/>
  <c r="I360" i="2"/>
  <c r="O360" i="2"/>
  <c r="AM361" i="2"/>
  <c r="K360" i="2"/>
  <c r="AR360" i="2"/>
  <c r="AL360" i="2"/>
  <c r="U359" i="2"/>
  <c r="M360" i="2" l="1"/>
  <c r="L360" i="2"/>
  <c r="AB360" i="2"/>
  <c r="AK360" i="2"/>
  <c r="AP361" i="2"/>
  <c r="AN361" i="2"/>
  <c r="AQ361" i="2"/>
  <c r="V360" i="2"/>
  <c r="AO361" i="2"/>
  <c r="P360" i="2"/>
  <c r="H361" i="2"/>
  <c r="E361" i="2"/>
  <c r="D362" i="2"/>
  <c r="AI361" i="2" l="1"/>
  <c r="I361" i="2"/>
  <c r="J361" i="2"/>
  <c r="O361" i="2"/>
  <c r="AL361" i="2"/>
  <c r="U360" i="2"/>
  <c r="AM362" i="2"/>
  <c r="K361" i="2"/>
  <c r="AR361" i="2"/>
  <c r="M361" i="2" l="1"/>
  <c r="L361" i="2"/>
  <c r="AK361" i="2"/>
  <c r="AB361" i="2"/>
  <c r="AP362" i="2"/>
  <c r="AN362" i="2"/>
  <c r="AQ362" i="2"/>
  <c r="V361" i="2"/>
  <c r="AO362" i="2"/>
  <c r="P361" i="2"/>
  <c r="H362" i="2"/>
  <c r="E362" i="2"/>
  <c r="D363" i="2"/>
  <c r="AI362" i="2" l="1"/>
  <c r="J362" i="2"/>
  <c r="I362" i="2"/>
  <c r="O362" i="2"/>
  <c r="AL362" i="2"/>
  <c r="U361" i="2"/>
  <c r="AM363" i="2"/>
  <c r="K362" i="2"/>
  <c r="AR362" i="2"/>
  <c r="M362" i="2" l="1"/>
  <c r="L362" i="2"/>
  <c r="AB362" i="2"/>
  <c r="AK362" i="2"/>
  <c r="AP363" i="2"/>
  <c r="AN363" i="2"/>
  <c r="AQ363" i="2"/>
  <c r="V362" i="2"/>
  <c r="AO363" i="2"/>
  <c r="P362" i="2"/>
  <c r="H363" i="2"/>
  <c r="E363" i="2"/>
  <c r="D364" i="2"/>
  <c r="AI363" i="2" l="1"/>
  <c r="I363" i="2"/>
  <c r="J363" i="2"/>
  <c r="O363" i="2"/>
  <c r="AM364" i="2"/>
  <c r="K363" i="2"/>
  <c r="U362" i="2"/>
  <c r="AR363" i="2"/>
  <c r="AL363" i="2"/>
  <c r="M363" i="2" l="1"/>
  <c r="L363" i="2"/>
  <c r="AB363" i="2"/>
  <c r="AK363" i="2"/>
  <c r="AP364" i="2"/>
  <c r="AN364" i="2"/>
  <c r="AQ364" i="2"/>
  <c r="V363" i="2"/>
  <c r="AO364" i="2"/>
  <c r="P363" i="2"/>
  <c r="H364" i="2"/>
  <c r="E364" i="2"/>
  <c r="D365" i="2"/>
  <c r="AI364" i="2" l="1"/>
  <c r="I364" i="2"/>
  <c r="J364" i="2"/>
  <c r="O364" i="2"/>
  <c r="AM365" i="2"/>
  <c r="K364" i="2"/>
  <c r="U363" i="2"/>
  <c r="AR364" i="2"/>
  <c r="AL364" i="2"/>
  <c r="M364" i="2" l="1"/>
  <c r="L364" i="2"/>
  <c r="AB364" i="2"/>
  <c r="AK364" i="2"/>
  <c r="AP365" i="2"/>
  <c r="AN365" i="2"/>
  <c r="AQ365" i="2"/>
  <c r="V364" i="2"/>
  <c r="P364" i="2"/>
  <c r="H365" i="2"/>
  <c r="AO365" i="2"/>
  <c r="E365" i="2"/>
  <c r="D366" i="2"/>
  <c r="I365" i="2" l="1"/>
  <c r="AI365" i="2"/>
  <c r="J365" i="2"/>
  <c r="O365" i="2"/>
  <c r="AM366" i="2"/>
  <c r="K365" i="2"/>
  <c r="AR365" i="2"/>
  <c r="AL365" i="2"/>
  <c r="U364" i="2"/>
  <c r="M365" i="2" l="1"/>
  <c r="L365" i="2"/>
  <c r="AK365" i="2"/>
  <c r="AB365" i="2"/>
  <c r="AP366" i="2"/>
  <c r="AN366" i="2"/>
  <c r="AQ366" i="2"/>
  <c r="V365" i="2"/>
  <c r="AO366" i="2"/>
  <c r="P365" i="2"/>
  <c r="H366" i="2"/>
  <c r="E366" i="2"/>
  <c r="D367" i="2"/>
  <c r="I366" i="2" l="1"/>
  <c r="AI366" i="2"/>
  <c r="J366" i="2"/>
  <c r="O366" i="2"/>
  <c r="AM367" i="2"/>
  <c r="K366" i="2"/>
  <c r="AR366" i="2"/>
  <c r="AL366" i="2"/>
  <c r="U365" i="2"/>
  <c r="M366" i="2" l="1"/>
  <c r="L366" i="2"/>
  <c r="AK366" i="2"/>
  <c r="AB366" i="2"/>
  <c r="AP367" i="2"/>
  <c r="AN367" i="2"/>
  <c r="AQ367" i="2"/>
  <c r="V366" i="2"/>
  <c r="P366" i="2"/>
  <c r="AO367" i="2"/>
  <c r="H367" i="2"/>
  <c r="E367" i="2"/>
  <c r="D368" i="2"/>
  <c r="AI367" i="2" l="1"/>
  <c r="J367" i="2"/>
  <c r="I367" i="2"/>
  <c r="O367" i="2"/>
  <c r="AL367" i="2"/>
  <c r="U366" i="2"/>
  <c r="AM368" i="2"/>
  <c r="K367" i="2"/>
  <c r="AR367" i="2"/>
  <c r="M367" i="2" l="1"/>
  <c r="L367" i="2"/>
  <c r="AB367" i="2"/>
  <c r="AK367" i="2"/>
  <c r="AP368" i="2"/>
  <c r="AN368" i="2"/>
  <c r="AQ368" i="2"/>
  <c r="V367" i="2"/>
  <c r="P367" i="2"/>
  <c r="H368" i="2"/>
  <c r="AO368" i="2"/>
  <c r="E368" i="2"/>
  <c r="D369" i="2"/>
  <c r="AI368" i="2" l="1"/>
  <c r="J368" i="2"/>
  <c r="I368" i="2"/>
  <c r="O368" i="2"/>
  <c r="AL368" i="2"/>
  <c r="U367" i="2"/>
  <c r="AM369" i="2"/>
  <c r="K368" i="2"/>
  <c r="AR368" i="2"/>
  <c r="M368" i="2" l="1"/>
  <c r="L368" i="2"/>
  <c r="AB368" i="2"/>
  <c r="AK368" i="2"/>
  <c r="AP369" i="2"/>
  <c r="AN369" i="2"/>
  <c r="AQ369" i="2"/>
  <c r="V368" i="2"/>
  <c r="AO369" i="2"/>
  <c r="P368" i="2"/>
  <c r="H369" i="2"/>
  <c r="E369" i="2"/>
  <c r="D370" i="2"/>
  <c r="AI369" i="2" l="1"/>
  <c r="I369" i="2"/>
  <c r="J369" i="2"/>
  <c r="O369" i="2"/>
  <c r="AM370" i="2"/>
  <c r="K369" i="2"/>
  <c r="U368" i="2"/>
  <c r="AR369" i="2"/>
  <c r="AL369" i="2"/>
  <c r="M369" i="2" l="1"/>
  <c r="L369" i="2"/>
  <c r="AK369" i="2"/>
  <c r="AB369" i="2"/>
  <c r="AP370" i="2"/>
  <c r="AN370" i="2"/>
  <c r="AQ370" i="2"/>
  <c r="V369" i="2"/>
  <c r="AO370" i="2"/>
  <c r="P369" i="2"/>
  <c r="H370" i="2"/>
  <c r="E370" i="2"/>
  <c r="D371" i="2"/>
  <c r="AI370" i="2" l="1"/>
  <c r="J370" i="2"/>
  <c r="I370" i="2"/>
  <c r="O370" i="2"/>
  <c r="AM371" i="2"/>
  <c r="K370" i="2"/>
  <c r="AR370" i="2"/>
  <c r="AL370" i="2"/>
  <c r="U369" i="2"/>
  <c r="M370" i="2" l="1"/>
  <c r="L370" i="2"/>
  <c r="AK370" i="2"/>
  <c r="AB370" i="2"/>
  <c r="AP371" i="2"/>
  <c r="AN371" i="2"/>
  <c r="AQ371" i="2"/>
  <c r="V370" i="2"/>
  <c r="P370" i="2"/>
  <c r="H371" i="2"/>
  <c r="AO371" i="2"/>
  <c r="E371" i="2"/>
  <c r="D372" i="2"/>
  <c r="AI371" i="2" l="1"/>
  <c r="I371" i="2"/>
  <c r="J371" i="2"/>
  <c r="O371" i="2"/>
  <c r="AL371" i="2"/>
  <c r="AM372" i="2"/>
  <c r="K371" i="2"/>
  <c r="U370" i="2"/>
  <c r="AR371" i="2"/>
  <c r="M371" i="2" l="1"/>
  <c r="L371" i="2"/>
  <c r="AB371" i="2"/>
  <c r="AK371" i="2"/>
  <c r="AP372" i="2"/>
  <c r="AN372" i="2"/>
  <c r="AQ372" i="2"/>
  <c r="V371" i="2"/>
  <c r="AO372" i="2"/>
  <c r="P371" i="2"/>
  <c r="H372" i="2"/>
  <c r="E372" i="2"/>
  <c r="D373" i="2"/>
  <c r="AI372" i="2" l="1"/>
  <c r="J372" i="2"/>
  <c r="I372" i="2"/>
  <c r="O372" i="2"/>
  <c r="U371" i="2"/>
  <c r="AM373" i="2"/>
  <c r="K372" i="2"/>
  <c r="AR372" i="2"/>
  <c r="AL372" i="2"/>
  <c r="M372" i="2" l="1"/>
  <c r="L372" i="2"/>
  <c r="AB372" i="2"/>
  <c r="AK372" i="2"/>
  <c r="AP373" i="2"/>
  <c r="AN373" i="2"/>
  <c r="AQ373" i="2"/>
  <c r="V372" i="2"/>
  <c r="P372" i="2"/>
  <c r="H373" i="2"/>
  <c r="AO373" i="2"/>
  <c r="E373" i="2"/>
  <c r="D374" i="2"/>
  <c r="I373" i="2" l="1"/>
  <c r="J373" i="2"/>
  <c r="AI373" i="2"/>
  <c r="O373" i="2"/>
  <c r="AL373" i="2"/>
  <c r="U372" i="2"/>
  <c r="AM374" i="2"/>
  <c r="K373" i="2"/>
  <c r="AR373" i="2"/>
  <c r="M373" i="2" l="1"/>
  <c r="L373" i="2"/>
  <c r="AK373" i="2"/>
  <c r="AB373" i="2"/>
  <c r="AP374" i="2"/>
  <c r="AN374" i="2"/>
  <c r="AQ374" i="2"/>
  <c r="V373" i="2"/>
  <c r="P373" i="2"/>
  <c r="AO374" i="2"/>
  <c r="H374" i="2"/>
  <c r="E374" i="2"/>
  <c r="D375" i="2"/>
  <c r="AI374" i="2" l="1"/>
  <c r="J374" i="2"/>
  <c r="I374" i="2"/>
  <c r="O374" i="2"/>
  <c r="AL374" i="2"/>
  <c r="U373" i="2"/>
  <c r="AM375" i="2"/>
  <c r="K374" i="2"/>
  <c r="AR374" i="2"/>
  <c r="M374" i="2" l="1"/>
  <c r="L374" i="2"/>
  <c r="AB374" i="2"/>
  <c r="AK374" i="2"/>
  <c r="AP375" i="2"/>
  <c r="AN375" i="2"/>
  <c r="AQ375" i="2"/>
  <c r="V374" i="2"/>
  <c r="P374" i="2"/>
  <c r="AO375" i="2"/>
  <c r="H375" i="2"/>
  <c r="E375" i="2"/>
  <c r="D376" i="2"/>
  <c r="AI375" i="2" l="1"/>
  <c r="J375" i="2"/>
  <c r="I375" i="2"/>
  <c r="O375" i="2"/>
  <c r="AL375" i="2"/>
  <c r="AM376" i="2"/>
  <c r="K375" i="2"/>
  <c r="U374" i="2"/>
  <c r="AR375" i="2"/>
  <c r="M375" i="2" l="1"/>
  <c r="L375" i="2"/>
  <c r="AK375" i="2"/>
  <c r="AB375" i="2"/>
  <c r="AP376" i="2"/>
  <c r="AN376" i="2"/>
  <c r="AQ376" i="2"/>
  <c r="V375" i="2"/>
  <c r="AO376" i="2"/>
  <c r="P375" i="2"/>
  <c r="H376" i="2"/>
  <c r="E376" i="2"/>
  <c r="D377" i="2"/>
  <c r="AI376" i="2" l="1"/>
  <c r="I376" i="2"/>
  <c r="J376" i="2"/>
  <c r="O376" i="2"/>
  <c r="AM377" i="2"/>
  <c r="K376" i="2"/>
  <c r="U375" i="2"/>
  <c r="AR376" i="2"/>
  <c r="AL376" i="2"/>
  <c r="M376" i="2" l="1"/>
  <c r="L376" i="2"/>
  <c r="AK376" i="2"/>
  <c r="AB376" i="2"/>
  <c r="AP377" i="2"/>
  <c r="AN377" i="2"/>
  <c r="AQ377" i="2"/>
  <c r="V376" i="2"/>
  <c r="AO377" i="2"/>
  <c r="P376" i="2"/>
  <c r="H377" i="2"/>
  <c r="E377" i="2"/>
  <c r="I377" i="2" l="1"/>
  <c r="J377" i="2"/>
  <c r="AI377" i="2"/>
  <c r="O377" i="2"/>
  <c r="K377" i="2"/>
  <c r="AR377" i="2"/>
  <c r="AL377" i="2"/>
  <c r="U376" i="2"/>
  <c r="M377" i="2" l="1"/>
  <c r="L377" i="2"/>
  <c r="AK377" i="2"/>
  <c r="AB377" i="2"/>
  <c r="AS19" i="2"/>
  <c r="R8" i="2" l="1"/>
  <c r="R2" i="2"/>
  <c r="V377" i="2"/>
  <c r="R6" i="2"/>
  <c r="P377" i="2"/>
  <c r="M5" i="2"/>
  <c r="P2" i="2"/>
  <c r="M3" i="2" l="1"/>
  <c r="M2" i="2"/>
  <c r="U377" i="2"/>
  <c r="M6" i="2"/>
  <c r="M9" i="2"/>
  <c r="P5" i="2"/>
  <c r="M8" i="2"/>
  <c r="J9" i="2"/>
  <c r="AT67" i="2"/>
  <c r="M10" i="2" s="1"/>
  <c r="AF24" i="2"/>
  <c r="AH24" i="2"/>
  <c r="AF25" i="2"/>
  <c r="AH25" i="2" s="1"/>
  <c r="AF26" i="2"/>
  <c r="AH26" i="2" s="1"/>
  <c r="AG24" i="2"/>
  <c r="AG25" i="2"/>
  <c r="AG26" i="2"/>
  <c r="AF27" i="2" l="1"/>
  <c r="AH27" i="2" s="1"/>
  <c r="AF28" i="2"/>
  <c r="AG27" i="2"/>
  <c r="AG28" i="2" l="1"/>
  <c r="AH28" i="2"/>
  <c r="AF29" i="2"/>
  <c r="AH29" i="2" l="1"/>
  <c r="AG29" i="2"/>
  <c r="AF30" i="2"/>
  <c r="AH30" i="2" l="1"/>
  <c r="AF31" i="2"/>
  <c r="AG30" i="2"/>
  <c r="AF32" i="2" l="1"/>
  <c r="AH31" i="2"/>
  <c r="AG31" i="2"/>
  <c r="AF33" i="2" l="1"/>
  <c r="AH32" i="2"/>
  <c r="AG32" i="2"/>
  <c r="AF34" i="2" l="1"/>
  <c r="AH33" i="2"/>
  <c r="AG33" i="2"/>
  <c r="AH34" i="2" l="1"/>
  <c r="AG34" i="2"/>
  <c r="AF35" i="2"/>
  <c r="AH35" i="2" l="1"/>
  <c r="AG35" i="2"/>
  <c r="AF36" i="2"/>
  <c r="AG36" i="2" l="1"/>
  <c r="AF37" i="2"/>
  <c r="AH36" i="2"/>
  <c r="AG37" i="2" l="1"/>
  <c r="AF38" i="2"/>
  <c r="AH37" i="2"/>
  <c r="AG38" i="2" l="1"/>
  <c r="AF39" i="2"/>
  <c r="AH38" i="2"/>
  <c r="AH39" i="2" l="1"/>
  <c r="AG39" i="2"/>
  <c r="AF40" i="2"/>
  <c r="AF41" i="2" l="1"/>
  <c r="AH40" i="2"/>
  <c r="AG40" i="2"/>
  <c r="AH41" i="2" l="1"/>
  <c r="AG41" i="2"/>
  <c r="AF42" i="2"/>
  <c r="AF43" i="2" l="1"/>
  <c r="AH42" i="2"/>
  <c r="AG42" i="2"/>
  <c r="AH43" i="2" l="1"/>
  <c r="AF44" i="2"/>
  <c r="AG43" i="2"/>
  <c r="AH44" i="2" l="1"/>
  <c r="AG44" i="2"/>
  <c r="AF45" i="2"/>
  <c r="AG45" i="2" l="1"/>
  <c r="AF46" i="2"/>
  <c r="AH45" i="2"/>
  <c r="AG46" i="2" l="1"/>
  <c r="AH46" i="2"/>
  <c r="AF47" i="2"/>
  <c r="AF48" i="2" l="1"/>
  <c r="AH47" i="2"/>
  <c r="AG47" i="2"/>
  <c r="AF49" i="2" l="1"/>
  <c r="AH48" i="2"/>
  <c r="AG48" i="2"/>
  <c r="AF50" i="2" l="1"/>
  <c r="AG49" i="2"/>
  <c r="AH49" i="2"/>
  <c r="AH50" i="2" l="1"/>
  <c r="AF51" i="2"/>
  <c r="AG50" i="2"/>
  <c r="AH51" i="2" l="1"/>
  <c r="AG51" i="2"/>
  <c r="AF52" i="2"/>
  <c r="AH52" i="2" l="1"/>
  <c r="AF53" i="2"/>
  <c r="AG52" i="2"/>
  <c r="AG53" i="2" l="1"/>
  <c r="AF54" i="2"/>
  <c r="AH53" i="2"/>
  <c r="AG54" i="2" l="1"/>
  <c r="AH54" i="2"/>
  <c r="AF55" i="2"/>
  <c r="AF56" i="2" l="1"/>
  <c r="AH55" i="2"/>
  <c r="AG55" i="2"/>
  <c r="AF57" i="2" l="1"/>
  <c r="AH56" i="2"/>
  <c r="AG56" i="2"/>
  <c r="AF58" i="2" l="1"/>
  <c r="AH57" i="2"/>
  <c r="AG57" i="2"/>
  <c r="AF59" i="2" l="1"/>
  <c r="AG58" i="2"/>
  <c r="AH58" i="2"/>
  <c r="AG59" i="2" l="1"/>
  <c r="AH59" i="2"/>
  <c r="AF60" i="2"/>
  <c r="AH60" i="2" l="1"/>
  <c r="AG60" i="2"/>
  <c r="AF61" i="2"/>
  <c r="AG61" i="2" l="1"/>
  <c r="AF62" i="2"/>
  <c r="AH61" i="2"/>
  <c r="AF63" i="2" l="1"/>
  <c r="AG62" i="2"/>
  <c r="AH62" i="2"/>
  <c r="AH63" i="2" l="1"/>
  <c r="AG63" i="2"/>
  <c r="AF64" i="2"/>
  <c r="AF65" i="2" l="1"/>
  <c r="AH64" i="2"/>
  <c r="AG64" i="2"/>
  <c r="AG65" i="2" l="1"/>
  <c r="AH65" i="2"/>
  <c r="AF66" i="2"/>
  <c r="AH66" i="2" l="1"/>
  <c r="AG66" i="2"/>
  <c r="AF67" i="2"/>
  <c r="AF68" i="2" l="1"/>
  <c r="AH67" i="2"/>
  <c r="AG67" i="2"/>
  <c r="AH68" i="2" l="1"/>
  <c r="AF69" i="2"/>
  <c r="AG68" i="2"/>
  <c r="AH69" i="2" l="1"/>
  <c r="AG69" i="2"/>
  <c r="AF70" i="2"/>
  <c r="AF71" i="2" l="1"/>
  <c r="AG70" i="2"/>
  <c r="AH70" i="2"/>
  <c r="AG71" i="2" l="1"/>
  <c r="AH71" i="2"/>
  <c r="AF72" i="2"/>
  <c r="AF73" i="2" l="1"/>
  <c r="AH72" i="2"/>
  <c r="AG72" i="2"/>
  <c r="AH73" i="2" l="1"/>
  <c r="AG73" i="2"/>
  <c r="AF74" i="2"/>
  <c r="AF75" i="2" l="1"/>
  <c r="AH74" i="2"/>
  <c r="AG74" i="2"/>
  <c r="AH75" i="2" l="1"/>
  <c r="AF76" i="2"/>
  <c r="AG75" i="2"/>
  <c r="AH76" i="2" l="1"/>
  <c r="AG76" i="2"/>
  <c r="AF77" i="2"/>
  <c r="AG77" i="2" l="1"/>
  <c r="AH77" i="2"/>
  <c r="AF78" i="2"/>
  <c r="AG78" i="2" l="1"/>
  <c r="AH78" i="2"/>
  <c r="AF79" i="2"/>
  <c r="AH79" i="2" l="1"/>
  <c r="AG79" i="2"/>
  <c r="AF80" i="2"/>
  <c r="AH80" i="2" l="1"/>
  <c r="AF81" i="2"/>
  <c r="AG80" i="2"/>
  <c r="AF82" i="2" l="1"/>
  <c r="AH81" i="2"/>
  <c r="AG81" i="2"/>
  <c r="AH82" i="2" l="1"/>
  <c r="AG82" i="2"/>
  <c r="AF83" i="2"/>
  <c r="AH83" i="2" l="1"/>
  <c r="AG83" i="2"/>
  <c r="AF84" i="2"/>
  <c r="AH84" i="2" l="1"/>
  <c r="AG84" i="2"/>
  <c r="AF85" i="2"/>
  <c r="AG85" i="2" l="1"/>
  <c r="AF86" i="2"/>
  <c r="AH85" i="2"/>
  <c r="AG86" i="2" l="1"/>
  <c r="AH86" i="2"/>
  <c r="AF87" i="2"/>
  <c r="AF88" i="2" l="1"/>
  <c r="AH87" i="2"/>
  <c r="AG87" i="2"/>
  <c r="AF89" i="2" l="1"/>
  <c r="AH88" i="2"/>
  <c r="AG88" i="2"/>
  <c r="AF90" i="2" l="1"/>
  <c r="AH89" i="2"/>
  <c r="AG89" i="2"/>
  <c r="AH90" i="2" l="1"/>
  <c r="AG90" i="2"/>
  <c r="AF91" i="2"/>
  <c r="AG91" i="2" l="1"/>
  <c r="AF92" i="2"/>
  <c r="AH91" i="2"/>
  <c r="AH92" i="2" l="1"/>
  <c r="AG92" i="2"/>
  <c r="AF93" i="2"/>
  <c r="AH93" i="2" l="1"/>
  <c r="AF94" i="2"/>
  <c r="AG93" i="2"/>
  <c r="AG94" i="2" l="1"/>
  <c r="AH94" i="2"/>
  <c r="AF95" i="2"/>
  <c r="AG95" i="2" l="1"/>
  <c r="AH95" i="2"/>
  <c r="AF96" i="2"/>
  <c r="AH96" i="2" l="1"/>
  <c r="AG96" i="2"/>
  <c r="AF97" i="2"/>
  <c r="AH97" i="2" l="1"/>
  <c r="AG97" i="2"/>
  <c r="AF98" i="2"/>
  <c r="AF99" i="2" l="1"/>
  <c r="AH98" i="2"/>
  <c r="AG98" i="2"/>
  <c r="AF100" i="2" l="1"/>
  <c r="AH99" i="2"/>
  <c r="AG99" i="2"/>
  <c r="AH100" i="2" l="1"/>
  <c r="AG100" i="2"/>
  <c r="AF101" i="2"/>
  <c r="AH101" i="2" l="1"/>
  <c r="AG101" i="2"/>
  <c r="AF102" i="2"/>
  <c r="AG102" i="2" l="1"/>
  <c r="AH102" i="2"/>
  <c r="AF103" i="2"/>
  <c r="AG103" i="2" l="1"/>
  <c r="AH103" i="2"/>
  <c r="AF104" i="2"/>
  <c r="AH104" i="2" l="1"/>
  <c r="AG104" i="2"/>
  <c r="AF105" i="2"/>
  <c r="AF106" i="2" l="1"/>
  <c r="AH105" i="2"/>
  <c r="AG105" i="2"/>
  <c r="AF107" i="2" l="1"/>
  <c r="AH106" i="2"/>
  <c r="AG106" i="2"/>
  <c r="AG107" i="2" l="1"/>
  <c r="AF108" i="2"/>
  <c r="AH107" i="2"/>
  <c r="AH108" i="2" l="1"/>
  <c r="AF109" i="2"/>
  <c r="AG108" i="2"/>
  <c r="AH109" i="2" l="1"/>
  <c r="AF110" i="2"/>
  <c r="AG109" i="2"/>
  <c r="AF111" i="2" l="1"/>
  <c r="AH110" i="2"/>
  <c r="AG110" i="2"/>
  <c r="AF112" i="2" l="1"/>
  <c r="AH111" i="2"/>
  <c r="AG111" i="2"/>
  <c r="AH112" i="2" l="1"/>
  <c r="AF113" i="2"/>
  <c r="AG112" i="2"/>
  <c r="AF114" i="2" l="1"/>
  <c r="AH113" i="2"/>
  <c r="AG113" i="2"/>
  <c r="AG114" i="2" l="1"/>
  <c r="AF115" i="2"/>
  <c r="AH114" i="2"/>
  <c r="AG115" i="2" l="1"/>
  <c r="AF116" i="2"/>
  <c r="AH115" i="2"/>
  <c r="AH116" i="2" l="1"/>
  <c r="AG116" i="2"/>
  <c r="AF117" i="2"/>
  <c r="AG117" i="2" l="1"/>
  <c r="AF118" i="2"/>
  <c r="AH117" i="2"/>
  <c r="AG118" i="2" l="1"/>
  <c r="AH118" i="2"/>
  <c r="AF119" i="2"/>
  <c r="AF120" i="2" l="1"/>
  <c r="AH119" i="2"/>
  <c r="AG119" i="2"/>
  <c r="AH120" i="2" l="1"/>
  <c r="AF121" i="2"/>
  <c r="AG120" i="2"/>
  <c r="AF122" i="2" l="1"/>
  <c r="AH121" i="2"/>
  <c r="AG121" i="2"/>
  <c r="AH122" i="2" l="1"/>
  <c r="AF123" i="2"/>
  <c r="AG122" i="2"/>
  <c r="AG123" i="2" l="1"/>
  <c r="AF124" i="2"/>
  <c r="AH123" i="2"/>
  <c r="AG124" i="2" l="1"/>
  <c r="AH124" i="2"/>
  <c r="AF125" i="2"/>
  <c r="AG125" i="2" l="1"/>
  <c r="AH125" i="2"/>
  <c r="AF126" i="2"/>
  <c r="AF127" i="2" l="1"/>
  <c r="AH126" i="2"/>
  <c r="AG126" i="2"/>
  <c r="AF128" i="2" l="1"/>
  <c r="AG127" i="2"/>
  <c r="AH127" i="2"/>
  <c r="AH128" i="2" l="1"/>
  <c r="AF129" i="2"/>
  <c r="AG128" i="2"/>
  <c r="AF130" i="2" l="1"/>
  <c r="AH129" i="2"/>
  <c r="AG129" i="2"/>
  <c r="AF131" i="2" l="1"/>
  <c r="AH130" i="2"/>
  <c r="AG130" i="2"/>
  <c r="AG131" i="2" l="1"/>
  <c r="AH131" i="2"/>
  <c r="AF132" i="2"/>
  <c r="AG132" i="2" l="1"/>
  <c r="AF133" i="2"/>
  <c r="AH132" i="2"/>
  <c r="AG133" i="2" l="1"/>
  <c r="AH133" i="2"/>
  <c r="AF134" i="2"/>
  <c r="AG134" i="2" l="1"/>
  <c r="AH134" i="2"/>
  <c r="AF135" i="2"/>
  <c r="AH135" i="2" l="1"/>
  <c r="AG135" i="2"/>
  <c r="AF136" i="2"/>
  <c r="AF137" i="2" l="1"/>
  <c r="AG136" i="2"/>
  <c r="AH136" i="2"/>
  <c r="AH137" i="2" l="1"/>
  <c r="AG137" i="2"/>
  <c r="AF138" i="2"/>
  <c r="AF139" i="2" l="1"/>
  <c r="AH138" i="2"/>
  <c r="AG138" i="2"/>
  <c r="AG139" i="2" l="1"/>
  <c r="AF140" i="2"/>
  <c r="AH139" i="2"/>
  <c r="AH140" i="2" l="1"/>
  <c r="AF141" i="2"/>
  <c r="AG140" i="2"/>
  <c r="AH141" i="2" l="1"/>
  <c r="AG141" i="2"/>
  <c r="AF142" i="2"/>
  <c r="AG142" i="2" l="1"/>
  <c r="AH142" i="2"/>
  <c r="AF143" i="2"/>
  <c r="AH143" i="2" l="1"/>
  <c r="AG143" i="2"/>
  <c r="AF144" i="2"/>
  <c r="AF145" i="2" l="1"/>
  <c r="AH144" i="2"/>
  <c r="AG144" i="2"/>
  <c r="AF146" i="2" l="1"/>
  <c r="AH145" i="2"/>
  <c r="AG145" i="2"/>
  <c r="AF147" i="2" l="1"/>
  <c r="AG146" i="2"/>
  <c r="AH146" i="2"/>
  <c r="AH147" i="2" l="1"/>
  <c r="AG147" i="2"/>
  <c r="AF148" i="2"/>
  <c r="AH148" i="2" l="1"/>
  <c r="AF149" i="2"/>
  <c r="AG148" i="2"/>
  <c r="AG149" i="2" l="1"/>
  <c r="AH149" i="2"/>
  <c r="AF150" i="2"/>
  <c r="AF151" i="2" l="1"/>
  <c r="AH150" i="2"/>
  <c r="AG150" i="2"/>
  <c r="AF152" i="2" l="1"/>
  <c r="AH151" i="2"/>
  <c r="AG151" i="2"/>
  <c r="AF153" i="2" l="1"/>
  <c r="AH152" i="2"/>
  <c r="AG152" i="2"/>
  <c r="AF154" i="2" l="1"/>
  <c r="AG153" i="2"/>
  <c r="AH153" i="2"/>
  <c r="AF155" i="2" l="1"/>
  <c r="AH154" i="2"/>
  <c r="AG154" i="2"/>
  <c r="AH155" i="2" l="1"/>
  <c r="AF156" i="2"/>
  <c r="AG155" i="2"/>
  <c r="AH156" i="2" l="1"/>
  <c r="AF157" i="2"/>
  <c r="AG156" i="2"/>
  <c r="AG157" i="2" l="1"/>
  <c r="AH157" i="2"/>
  <c r="AF158" i="2"/>
  <c r="AG158" i="2" l="1"/>
  <c r="AH158" i="2"/>
  <c r="AF159" i="2"/>
  <c r="AF160" i="2" l="1"/>
  <c r="AG159" i="2"/>
  <c r="AH159" i="2"/>
  <c r="AH160" i="2" l="1"/>
  <c r="AF161" i="2"/>
  <c r="AG160" i="2"/>
  <c r="AH161" i="2" l="1"/>
  <c r="AG161" i="2"/>
  <c r="AF162" i="2"/>
  <c r="AH162" i="2" l="1"/>
  <c r="AG162" i="2"/>
  <c r="AF163" i="2"/>
  <c r="AF164" i="2" l="1"/>
  <c r="AH163" i="2"/>
  <c r="AG163" i="2"/>
  <c r="AG164" i="2" l="1"/>
  <c r="AH164" i="2"/>
  <c r="AF165" i="2"/>
  <c r="AG165" i="2" l="1"/>
  <c r="AH165" i="2"/>
  <c r="AF166" i="2"/>
  <c r="AF167" i="2" l="1"/>
  <c r="AG166" i="2"/>
  <c r="AH166" i="2"/>
  <c r="AG167" i="2" l="1"/>
  <c r="AH167" i="2"/>
  <c r="AF168" i="2"/>
  <c r="AF169" i="2" l="1"/>
  <c r="AG168" i="2"/>
  <c r="AH168" i="2"/>
  <c r="AF170" i="2" l="1"/>
  <c r="AH169" i="2"/>
  <c r="AG169" i="2"/>
  <c r="AF171" i="2" l="1"/>
  <c r="AH170" i="2"/>
  <c r="AG170" i="2"/>
  <c r="AH171" i="2" l="1"/>
  <c r="AG171" i="2"/>
  <c r="AF172" i="2"/>
  <c r="AH172" i="2" l="1"/>
  <c r="AF173" i="2"/>
  <c r="AG172" i="2"/>
  <c r="AG173" i="2" l="1"/>
  <c r="AF174" i="2"/>
  <c r="AH173" i="2"/>
  <c r="AF175" i="2" l="1"/>
  <c r="AH174" i="2"/>
  <c r="AG174" i="2"/>
  <c r="AF176" i="2" l="1"/>
  <c r="AG175" i="2"/>
  <c r="AH175" i="2"/>
  <c r="AG176" i="2" l="1"/>
  <c r="AH176" i="2"/>
  <c r="AF177" i="2"/>
  <c r="AF178" i="2" l="1"/>
  <c r="AG177" i="2"/>
  <c r="AH177" i="2"/>
  <c r="AF179" i="2" l="1"/>
  <c r="AH178" i="2"/>
  <c r="AG178" i="2"/>
  <c r="AF180" i="2" l="1"/>
  <c r="AH179" i="2"/>
  <c r="AG179" i="2"/>
  <c r="AG180" i="2" l="1"/>
  <c r="AH180" i="2"/>
  <c r="AF181" i="2"/>
  <c r="AH181" i="2" l="1"/>
  <c r="AG181" i="2"/>
  <c r="AF182" i="2"/>
  <c r="AG182" i="2" l="1"/>
  <c r="AH182" i="2"/>
  <c r="AF183" i="2"/>
  <c r="AF184" i="2" l="1"/>
  <c r="AG183" i="2"/>
  <c r="AH183" i="2"/>
  <c r="AH184" i="2" l="1"/>
  <c r="AG184" i="2"/>
  <c r="AF185" i="2"/>
  <c r="AF186" i="2" l="1"/>
  <c r="AH185" i="2"/>
  <c r="AG185" i="2"/>
  <c r="AF187" i="2" l="1"/>
  <c r="AH186" i="2"/>
  <c r="AG186" i="2"/>
  <c r="AG187" i="2" l="1"/>
  <c r="AH187" i="2"/>
  <c r="AF188" i="2"/>
  <c r="AG188" i="2" l="1"/>
  <c r="AF189" i="2"/>
  <c r="AH188" i="2"/>
  <c r="AH189" i="2" l="1"/>
  <c r="AG189" i="2"/>
  <c r="AF190" i="2"/>
  <c r="AH190" i="2" l="1"/>
  <c r="AF191" i="2"/>
  <c r="AG190" i="2"/>
  <c r="AF192" i="2" l="1"/>
  <c r="AH191" i="2"/>
  <c r="AG191" i="2"/>
  <c r="AF193" i="2" l="1"/>
  <c r="AH192" i="2"/>
  <c r="AG192" i="2"/>
  <c r="AH193" i="2" l="1"/>
  <c r="AF194" i="2"/>
  <c r="AG193" i="2"/>
  <c r="AH194" i="2" l="1"/>
  <c r="AG194" i="2"/>
  <c r="AF195" i="2"/>
  <c r="AG195" i="2" l="1"/>
  <c r="AH195" i="2"/>
  <c r="AF196" i="2"/>
  <c r="AH196" i="2" l="1"/>
  <c r="AF197" i="2"/>
  <c r="AG196" i="2"/>
  <c r="AG197" i="2" l="1"/>
  <c r="AH197" i="2"/>
  <c r="AF198" i="2"/>
  <c r="AG198" i="2" l="1"/>
  <c r="AH198" i="2"/>
  <c r="AF199" i="2"/>
  <c r="AF200" i="2" l="1"/>
  <c r="AH199" i="2"/>
  <c r="AG199" i="2"/>
  <c r="AF201" i="2" l="1"/>
  <c r="AH200" i="2"/>
  <c r="AG200" i="2"/>
  <c r="AH201" i="2" l="1"/>
  <c r="AF202" i="2"/>
  <c r="AG201" i="2"/>
  <c r="AF203" i="2" l="1"/>
  <c r="AH202" i="2"/>
  <c r="AG202" i="2"/>
  <c r="AG203" i="2" l="1"/>
  <c r="AH203" i="2"/>
  <c r="AF204" i="2"/>
  <c r="AG204" i="2" l="1"/>
  <c r="AH204" i="2"/>
  <c r="AF205" i="2"/>
  <c r="AG205" i="2" l="1"/>
  <c r="AF206" i="2"/>
  <c r="AH205" i="2"/>
  <c r="AF207" i="2" l="1"/>
  <c r="AH206" i="2"/>
  <c r="AG206" i="2"/>
  <c r="AF208" i="2" l="1"/>
  <c r="AG207" i="2"/>
  <c r="AH207" i="2"/>
  <c r="AF209" i="2" l="1"/>
  <c r="AH208" i="2"/>
  <c r="AG208" i="2"/>
  <c r="AH209" i="2" l="1"/>
  <c r="AG209" i="2"/>
  <c r="AF210" i="2"/>
  <c r="AH210" i="2" l="1"/>
  <c r="AF211" i="2"/>
  <c r="AG210" i="2"/>
  <c r="AG211" i="2" l="1"/>
  <c r="AF212" i="2"/>
  <c r="AH211" i="2"/>
  <c r="AG212" i="2" l="1"/>
  <c r="AF213" i="2"/>
  <c r="AH212" i="2"/>
  <c r="AH213" i="2" l="1"/>
  <c r="AF214" i="2"/>
  <c r="AG213" i="2"/>
  <c r="AG214" i="2" l="1"/>
  <c r="AH214" i="2"/>
  <c r="AF215" i="2"/>
  <c r="AG215" i="2" l="1"/>
  <c r="AH215" i="2"/>
  <c r="AF216" i="2"/>
  <c r="AH216" i="2" l="1"/>
  <c r="AG216" i="2"/>
  <c r="AF217" i="2"/>
  <c r="AF218" i="2" l="1"/>
  <c r="AH217" i="2"/>
  <c r="AG217" i="2"/>
  <c r="AF219" i="2" l="1"/>
  <c r="AH218" i="2"/>
  <c r="AG218" i="2"/>
  <c r="AH219" i="2" l="1"/>
  <c r="AF220" i="2"/>
  <c r="AG219" i="2"/>
  <c r="AH220" i="2" l="1"/>
  <c r="AF221" i="2"/>
  <c r="AG220" i="2"/>
  <c r="AG221" i="2" l="1"/>
  <c r="AF222" i="2"/>
  <c r="AH221" i="2"/>
  <c r="AF223" i="2" l="1"/>
  <c r="AG222" i="2"/>
  <c r="AH222" i="2"/>
  <c r="AF224" i="2" l="1"/>
  <c r="AH223" i="2"/>
  <c r="AG223" i="2"/>
  <c r="AH224" i="2" l="1"/>
  <c r="AF225" i="2"/>
  <c r="AG224" i="2"/>
  <c r="AF226" i="2" l="1"/>
  <c r="AH225" i="2"/>
  <c r="AG225" i="2"/>
  <c r="AH226" i="2" l="1"/>
  <c r="AF227" i="2"/>
  <c r="AG226" i="2"/>
  <c r="AH227" i="2" l="1"/>
  <c r="AG227" i="2"/>
  <c r="AF228" i="2"/>
  <c r="AG228" i="2" l="1"/>
  <c r="AH228" i="2"/>
  <c r="AF229" i="2"/>
  <c r="AH229" i="2" l="1"/>
  <c r="AG229" i="2"/>
  <c r="AF230" i="2"/>
  <c r="AF231" i="2" l="1"/>
  <c r="AG230" i="2"/>
  <c r="AH230" i="2"/>
  <c r="AG231" i="2" l="1"/>
  <c r="AH231" i="2"/>
  <c r="AF232" i="2"/>
  <c r="AF233" i="2" l="1"/>
  <c r="AH232" i="2"/>
  <c r="AG232" i="2"/>
  <c r="AF234" i="2" l="1"/>
  <c r="AH233" i="2"/>
  <c r="AG233" i="2"/>
  <c r="AF235" i="2" l="1"/>
  <c r="AH234" i="2"/>
  <c r="AG234" i="2"/>
  <c r="AH235" i="2" l="1"/>
  <c r="AF236" i="2"/>
  <c r="AG235" i="2"/>
  <c r="AH236" i="2" l="1"/>
  <c r="AG236" i="2"/>
  <c r="AF237" i="2"/>
  <c r="AH237" i="2" l="1"/>
  <c r="AG237" i="2"/>
  <c r="AF238" i="2"/>
  <c r="AF239" i="2" l="1"/>
  <c r="AG238" i="2"/>
  <c r="AH238" i="2"/>
  <c r="AF240" i="2" l="1"/>
  <c r="AH239" i="2"/>
  <c r="AG239" i="2"/>
  <c r="AH240" i="2" l="1"/>
  <c r="AG240" i="2"/>
  <c r="AF241" i="2"/>
  <c r="AF242" i="2" l="1"/>
  <c r="AH241" i="2"/>
  <c r="AG241" i="2"/>
  <c r="AF243" i="2" l="1"/>
  <c r="AH242" i="2"/>
  <c r="AG242" i="2"/>
  <c r="AH243" i="2" l="1"/>
  <c r="AF244" i="2"/>
  <c r="AG243" i="2"/>
  <c r="AG244" i="2" l="1"/>
  <c r="AF245" i="2"/>
  <c r="AH244" i="2"/>
  <c r="AF246" i="2" l="1"/>
  <c r="AH245" i="2"/>
  <c r="AG245" i="2"/>
  <c r="AG246" i="2" l="1"/>
  <c r="AH246" i="2"/>
  <c r="AF247" i="2"/>
  <c r="AH247" i="2" l="1"/>
  <c r="AF248" i="2"/>
  <c r="AG247" i="2"/>
  <c r="AH248" i="2" l="1"/>
  <c r="AF249" i="2"/>
  <c r="AG248" i="2"/>
  <c r="AH249" i="2" l="1"/>
  <c r="AF250" i="2"/>
  <c r="AG249" i="2"/>
  <c r="AF251" i="2" l="1"/>
  <c r="AH250" i="2"/>
  <c r="AG250" i="2"/>
  <c r="AG251" i="2" l="1"/>
  <c r="AH251" i="2"/>
  <c r="AF252" i="2"/>
  <c r="AG252" i="2" l="1"/>
  <c r="AH252" i="2"/>
  <c r="AF253" i="2"/>
  <c r="AG253" i="2" l="1"/>
  <c r="AH253" i="2"/>
  <c r="AF254" i="2"/>
  <c r="AF255" i="2" l="1"/>
  <c r="AH254" i="2"/>
  <c r="AG254" i="2"/>
  <c r="AF256" i="2" l="1"/>
  <c r="AG255" i="2"/>
  <c r="AH255" i="2"/>
  <c r="AF257" i="2" l="1"/>
  <c r="AH256" i="2"/>
  <c r="AG256" i="2"/>
  <c r="AF258" i="2" l="1"/>
  <c r="AG257" i="2"/>
  <c r="AH257" i="2"/>
  <c r="AF259" i="2" l="1"/>
  <c r="AH258" i="2"/>
  <c r="AG258" i="2"/>
  <c r="AF260" i="2" l="1"/>
  <c r="AH259" i="2"/>
  <c r="AG259" i="2"/>
  <c r="AH260" i="2" l="1"/>
  <c r="AF261" i="2"/>
  <c r="AG260" i="2"/>
  <c r="AG261" i="2" l="1"/>
  <c r="AH261" i="2"/>
  <c r="AF262" i="2"/>
  <c r="AG262" i="2" l="1"/>
  <c r="AF263" i="2"/>
  <c r="AH262" i="2"/>
  <c r="AF264" i="2" l="1"/>
  <c r="AH263" i="2"/>
  <c r="AG263" i="2"/>
  <c r="AH264" i="2" l="1"/>
  <c r="AG264" i="2"/>
  <c r="AF265" i="2"/>
  <c r="AH265" i="2" l="1"/>
  <c r="AG265" i="2"/>
  <c r="AF266" i="2"/>
  <c r="AF267" i="2" l="1"/>
  <c r="AH266" i="2"/>
  <c r="AG266" i="2"/>
  <c r="AH267" i="2" l="1"/>
  <c r="AG267" i="2"/>
  <c r="AF268" i="2"/>
  <c r="AG268" i="2" l="1"/>
  <c r="AF269" i="2"/>
  <c r="AH268" i="2"/>
  <c r="AH269" i="2" l="1"/>
  <c r="AG269" i="2"/>
  <c r="AF270" i="2"/>
  <c r="AF271" i="2" l="1"/>
  <c r="AH270" i="2"/>
  <c r="AG270" i="2"/>
  <c r="AH271" i="2" l="1"/>
  <c r="AG271" i="2"/>
  <c r="AF272" i="2"/>
  <c r="AF273" i="2" l="1"/>
  <c r="AH272" i="2"/>
  <c r="AG272" i="2"/>
  <c r="AH273" i="2" l="1"/>
  <c r="AF274" i="2"/>
  <c r="AG273" i="2"/>
  <c r="AH274" i="2" l="1"/>
  <c r="AG274" i="2"/>
  <c r="AF275" i="2"/>
  <c r="AH275" i="2" l="1"/>
  <c r="AF276" i="2"/>
  <c r="AG275" i="2"/>
  <c r="AH276" i="2" l="1"/>
  <c r="AG276" i="2"/>
  <c r="AF277" i="2"/>
  <c r="AH277" i="2" l="1"/>
  <c r="AF278" i="2"/>
  <c r="AG277" i="2"/>
  <c r="AG278" i="2" l="1"/>
  <c r="AF279" i="2"/>
  <c r="AH278" i="2"/>
  <c r="AG279" i="2" l="1"/>
  <c r="AH279" i="2"/>
  <c r="AF280" i="2"/>
  <c r="AH280" i="2" l="1"/>
  <c r="AG280" i="2"/>
  <c r="AF281" i="2"/>
  <c r="AF282" i="2" l="1"/>
  <c r="AH281" i="2"/>
  <c r="AG281" i="2"/>
  <c r="AH282" i="2" l="1"/>
  <c r="AF283" i="2"/>
  <c r="AG282" i="2"/>
  <c r="AH283" i="2" l="1"/>
  <c r="AG283" i="2"/>
  <c r="AF284" i="2"/>
  <c r="AH284" i="2" l="1"/>
  <c r="AG284" i="2"/>
  <c r="AF285" i="2"/>
  <c r="AH285" i="2" l="1"/>
  <c r="AF286" i="2"/>
  <c r="AG285" i="2"/>
  <c r="AF287" i="2" l="1"/>
  <c r="AG286" i="2"/>
  <c r="AH286" i="2"/>
  <c r="AH287" i="2" l="1"/>
  <c r="AG287" i="2"/>
  <c r="AF288" i="2"/>
  <c r="AF289" i="2" l="1"/>
  <c r="AH288" i="2"/>
  <c r="AG288" i="2"/>
  <c r="AF290" i="2" l="1"/>
  <c r="AH289" i="2"/>
  <c r="AG289" i="2"/>
  <c r="AH290" i="2" l="1"/>
  <c r="AF291" i="2"/>
  <c r="AG290" i="2"/>
  <c r="AF292" i="2" l="1"/>
  <c r="AH291" i="2"/>
  <c r="AG291" i="2"/>
  <c r="AH292" i="2" l="1"/>
  <c r="AG292" i="2"/>
  <c r="AF293" i="2"/>
  <c r="AG293" i="2" l="1"/>
  <c r="AF294" i="2"/>
  <c r="AH293" i="2"/>
  <c r="AG294" i="2" l="1"/>
  <c r="AH294" i="2"/>
  <c r="AF295" i="2"/>
  <c r="AF296" i="2" l="1"/>
  <c r="AG295" i="2"/>
  <c r="AH295" i="2"/>
  <c r="AH296" i="2" l="1"/>
  <c r="AG296" i="2"/>
  <c r="AF297" i="2"/>
  <c r="AF298" i="2" l="1"/>
  <c r="AH297" i="2"/>
  <c r="AG297" i="2"/>
  <c r="AH298" i="2" l="1"/>
  <c r="AF299" i="2"/>
  <c r="AG298" i="2"/>
  <c r="AH299" i="2" l="1"/>
  <c r="AF300" i="2"/>
  <c r="AG299" i="2"/>
  <c r="AH300" i="2" l="1"/>
  <c r="AF301" i="2"/>
  <c r="AG300" i="2"/>
  <c r="AH301" i="2" l="1"/>
  <c r="AF302" i="2"/>
  <c r="AG301" i="2"/>
  <c r="AH302" i="2" l="1"/>
  <c r="AF303" i="2"/>
  <c r="AG302" i="2"/>
  <c r="AH303" i="2" l="1"/>
  <c r="AG303" i="2"/>
  <c r="AF304" i="2"/>
  <c r="AH304" i="2" l="1"/>
  <c r="AF305" i="2"/>
  <c r="AG304" i="2"/>
  <c r="AF306" i="2" l="1"/>
  <c r="AH305" i="2"/>
  <c r="AG305" i="2"/>
  <c r="AG306" i="2" l="1"/>
  <c r="AH306" i="2"/>
  <c r="AF307" i="2"/>
  <c r="AG307" i="2" l="1"/>
  <c r="AH307" i="2"/>
  <c r="AF308" i="2"/>
  <c r="AH308" i="2" l="1"/>
  <c r="AF309" i="2"/>
  <c r="AG308" i="2"/>
  <c r="AG309" i="2" l="1"/>
  <c r="AH309" i="2"/>
  <c r="AF310" i="2"/>
  <c r="AG310" i="2" l="1"/>
  <c r="AH310" i="2"/>
  <c r="AF311" i="2"/>
  <c r="AH311" i="2" l="1"/>
  <c r="AG311" i="2"/>
  <c r="AF312" i="2"/>
  <c r="AF313" i="2" l="1"/>
  <c r="AH312" i="2"/>
  <c r="AG312" i="2"/>
  <c r="AF314" i="2" l="1"/>
  <c r="AH313" i="2"/>
  <c r="AG313" i="2"/>
  <c r="AF315" i="2" l="1"/>
  <c r="AH314" i="2"/>
  <c r="AG314" i="2"/>
  <c r="AG315" i="2" l="1"/>
  <c r="AF316" i="2"/>
  <c r="AH315" i="2"/>
  <c r="AH316" i="2" l="1"/>
  <c r="AF317" i="2"/>
  <c r="AG316" i="2"/>
  <c r="AH317" i="2" l="1"/>
  <c r="AF318" i="2"/>
  <c r="AG317" i="2"/>
  <c r="AG318" i="2" l="1"/>
  <c r="AH318" i="2"/>
  <c r="AF319" i="2"/>
  <c r="AG319" i="2" l="1"/>
  <c r="AH319" i="2"/>
  <c r="AF320" i="2"/>
  <c r="AH320" i="2" l="1"/>
  <c r="AG320" i="2"/>
  <c r="AF321" i="2"/>
  <c r="AH321" i="2" l="1"/>
  <c r="AG321" i="2"/>
  <c r="AF322" i="2"/>
  <c r="AG322" i="2" l="1"/>
  <c r="AH322" i="2"/>
  <c r="AF323" i="2"/>
  <c r="AH323" i="2" l="1"/>
  <c r="AF324" i="2"/>
  <c r="AG323" i="2"/>
  <c r="AH324" i="2" l="1"/>
  <c r="AG324" i="2"/>
  <c r="AF325" i="2"/>
  <c r="AH325" i="2" l="1"/>
  <c r="AF326" i="2"/>
  <c r="AG325" i="2"/>
  <c r="AF327" i="2" l="1"/>
  <c r="AG326" i="2"/>
  <c r="AH326" i="2"/>
  <c r="AF328" i="2" l="1"/>
  <c r="AH327" i="2"/>
  <c r="AG327" i="2"/>
  <c r="AF329" i="2" l="1"/>
  <c r="AG328" i="2"/>
  <c r="AH328" i="2"/>
  <c r="AF330" i="2" l="1"/>
  <c r="AH329" i="2"/>
  <c r="AG329" i="2"/>
  <c r="AH330" i="2" l="1"/>
  <c r="AF331" i="2"/>
  <c r="AG330" i="2"/>
  <c r="AH331" i="2" l="1"/>
  <c r="AF332" i="2"/>
  <c r="AG331" i="2"/>
  <c r="AH332" i="2" l="1"/>
  <c r="AF333" i="2"/>
  <c r="AG332" i="2"/>
  <c r="AG333" i="2" l="1"/>
  <c r="AF334" i="2"/>
  <c r="AH333" i="2"/>
  <c r="AG334" i="2" l="1"/>
  <c r="AH334" i="2"/>
  <c r="AF335" i="2"/>
  <c r="AF336" i="2" l="1"/>
  <c r="AG335" i="2"/>
  <c r="AH335" i="2"/>
  <c r="AH336" i="2" l="1"/>
  <c r="AF337" i="2"/>
  <c r="AG336" i="2"/>
  <c r="AF338" i="2" l="1"/>
  <c r="AH337" i="2"/>
  <c r="AG337" i="2"/>
  <c r="AH338" i="2" l="1"/>
  <c r="AF339" i="2"/>
  <c r="AG338" i="2"/>
  <c r="AH339" i="2" l="1"/>
  <c r="AF340" i="2"/>
  <c r="AG339" i="2"/>
  <c r="AG340" i="2" l="1"/>
  <c r="AH340" i="2"/>
  <c r="AF341" i="2"/>
  <c r="AH341" i="2" l="1"/>
  <c r="AG341" i="2"/>
  <c r="AF342" i="2"/>
  <c r="AG342" i="2" l="1"/>
  <c r="AF343" i="2"/>
  <c r="AH342" i="2"/>
  <c r="AG343" i="2" l="1"/>
  <c r="AH343" i="2"/>
  <c r="AF344" i="2"/>
  <c r="AF345" i="2" l="1"/>
  <c r="AH344" i="2"/>
  <c r="AG344" i="2"/>
  <c r="AF346" i="2" l="1"/>
  <c r="AH345" i="2"/>
  <c r="AG345" i="2"/>
  <c r="AF347" i="2" l="1"/>
  <c r="AH346" i="2"/>
  <c r="AG346" i="2"/>
  <c r="AH347" i="2" l="1"/>
  <c r="AG347" i="2"/>
  <c r="AF348" i="2"/>
  <c r="AH348" i="2" l="1"/>
  <c r="AG348" i="2"/>
  <c r="AF349" i="2"/>
  <c r="AH349" i="2" l="1"/>
  <c r="AG349" i="2"/>
  <c r="AF350" i="2"/>
  <c r="AH350" i="2" l="1"/>
  <c r="AF351" i="2"/>
  <c r="AG350" i="2"/>
  <c r="AF352" i="2" l="1"/>
  <c r="AG351" i="2"/>
  <c r="AH351" i="2"/>
  <c r="AF353" i="2" l="1"/>
  <c r="AH352" i="2"/>
  <c r="AG352" i="2"/>
  <c r="AF354" i="2" l="1"/>
  <c r="AH353" i="2"/>
  <c r="AG353" i="2"/>
  <c r="AG354" i="2" l="1"/>
  <c r="AF355" i="2"/>
  <c r="AH354" i="2"/>
  <c r="AG355" i="2" l="1"/>
  <c r="AF356" i="2"/>
  <c r="AH355" i="2"/>
  <c r="AG356" i="2" l="1"/>
  <c r="AF357" i="2"/>
  <c r="AH356" i="2"/>
  <c r="AG357" i="2" l="1"/>
  <c r="AH357" i="2"/>
  <c r="AF358" i="2"/>
  <c r="AF359" i="2" l="1"/>
  <c r="AG358" i="2"/>
  <c r="AH358" i="2"/>
  <c r="AG359" i="2" l="1"/>
  <c r="AH359" i="2"/>
  <c r="AF360" i="2"/>
  <c r="AF361" i="2" l="1"/>
  <c r="AH360" i="2"/>
  <c r="AG360" i="2"/>
  <c r="AH361" i="2" l="1"/>
  <c r="AF362" i="2"/>
  <c r="AG361" i="2"/>
  <c r="AH362" i="2" l="1"/>
  <c r="AF363" i="2"/>
  <c r="AG362" i="2"/>
  <c r="AH363" i="2" l="1"/>
  <c r="AF364" i="2"/>
  <c r="AG363" i="2"/>
  <c r="AH364" i="2" l="1"/>
  <c r="AG364" i="2"/>
  <c r="AF365" i="2"/>
  <c r="AG365" i="2" l="1"/>
  <c r="AF366" i="2"/>
  <c r="AH365" i="2"/>
  <c r="AG366" i="2" l="1"/>
  <c r="AH366" i="2"/>
  <c r="AF367" i="2"/>
  <c r="AG367" i="2" l="1"/>
  <c r="AH367" i="2"/>
  <c r="AF368" i="2"/>
  <c r="AF369" i="2" l="1"/>
  <c r="AH368" i="2"/>
  <c r="AG368" i="2"/>
  <c r="AF370" i="2" l="1"/>
  <c r="AG369" i="2"/>
  <c r="AH369" i="2"/>
  <c r="AH370" i="2" l="1"/>
  <c r="AF371" i="2"/>
  <c r="AG370" i="2"/>
  <c r="AF372" i="2" l="1"/>
  <c r="AH371" i="2"/>
  <c r="AG371" i="2"/>
  <c r="AH372" i="2" l="1"/>
  <c r="AF373" i="2"/>
  <c r="AG372" i="2"/>
  <c r="AG373" i="2" l="1"/>
  <c r="AH373" i="2"/>
  <c r="AF374" i="2"/>
  <c r="AF375" i="2" l="1"/>
  <c r="AG374" i="2"/>
  <c r="AH374" i="2"/>
  <c r="AG375" i="2" l="1"/>
  <c r="AH375" i="2"/>
  <c r="AF376" i="2"/>
  <c r="AH376" i="2" l="1"/>
  <c r="AG376" i="2"/>
  <c r="AF377" i="2"/>
  <c r="AG377" i="2" l="1"/>
  <c r="AH377" i="2"/>
  <c r="M4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/>
  </authors>
  <commentList>
    <comment ref="AI16" authorId="0" shapeId="0" xr:uid="{00000000-0006-0000-0100-000001000000}">
      <text>
        <r>
          <rPr>
            <sz val="10"/>
            <rFont val="Arial"/>
            <family val="2"/>
          </rPr>
          <t>Overskrift for bruk i diagram.</t>
        </r>
      </text>
    </comment>
  </commentList>
</comments>
</file>

<file path=xl/sharedStrings.xml><?xml version="1.0" encoding="utf-8"?>
<sst xmlns="http://schemas.openxmlformats.org/spreadsheetml/2006/main" count="178" uniqueCount="146">
  <si>
    <t>Nedbetalingsplan fra banken</t>
  </si>
  <si>
    <t>Termin</t>
  </si>
  <si>
    <t>Renter</t>
  </si>
  <si>
    <t>Renter u/tnb</t>
  </si>
  <si>
    <t>Sparte renter pr måned</t>
  </si>
  <si>
    <t>Sparte renter akkumulert</t>
  </si>
  <si>
    <t>Saldodiff. med og u/tnb</t>
  </si>
  <si>
    <t>Saldo</t>
  </si>
  <si>
    <t>Saldo u/tnb</t>
  </si>
  <si>
    <t>Lånetype:</t>
  </si>
  <si>
    <t>&lt;-- fyll ut</t>
  </si>
  <si>
    <t>Lånebeløp:</t>
  </si>
  <si>
    <t>Nedbetalingstid (år + måneder/12):</t>
  </si>
  <si>
    <t>Rente (nominell):</t>
  </si>
  <si>
    <t>Månedlig tilleggsnedbetaling</t>
  </si>
  <si>
    <t>Tilleggsnedbetaling (tnb):</t>
  </si>
  <si>
    <t>Resultat i tid</t>
  </si>
  <si>
    <t>Antall terminer for nedbetaling av lånet:</t>
  </si>
  <si>
    <t>Spart nedbetalingstid på tilleggsnedbetalinger:</t>
  </si>
  <si>
    <t>Resultat i kroner</t>
  </si>
  <si>
    <t>Sum renter uten tilleggsnedbetalinger:</t>
  </si>
  <si>
    <t>Sum renter med tilleggsnedbetalinger:</t>
  </si>
  <si>
    <t>Sparte renteutgifter på tilleggsnedbetalinger:</t>
  </si>
  <si>
    <t>Filen er tilpasset flytende rente og månedlige avdrag. Ark en er tilpasset nedbetalingstid som reduseres av tilleggsnedbetaling.</t>
  </si>
  <si>
    <t>Maks nedbetalingstid er 30 år. I ark en er summen av terminbeløp og tilleggsnedbetaling alltid synkende for serielån.</t>
  </si>
  <si>
    <t>Diagram 1 a: Renteutgifter pr måned med og uten tilleggsnedbetalinger</t>
  </si>
  <si>
    <t>Diagram 1 b: Sparte renter akkumulert</t>
  </si>
  <si>
    <t>4 år</t>
  </si>
  <si>
    <t>5 år</t>
  </si>
  <si>
    <t>6 år</t>
  </si>
  <si>
    <t>7 år</t>
  </si>
  <si>
    <t>8 år</t>
  </si>
  <si>
    <t>9 år</t>
  </si>
  <si>
    <t>10 år</t>
  </si>
  <si>
    <t>11 år</t>
  </si>
  <si>
    <t>12 år</t>
  </si>
  <si>
    <t>13 år</t>
  </si>
  <si>
    <t>14 år</t>
  </si>
  <si>
    <t>15 år</t>
  </si>
  <si>
    <t>16 år</t>
  </si>
  <si>
    <t>17 år</t>
  </si>
  <si>
    <t>18 år</t>
  </si>
  <si>
    <t>19 år</t>
  </si>
  <si>
    <t>20 år</t>
  </si>
  <si>
    <t>21 år</t>
  </si>
  <si>
    <t>22 år</t>
  </si>
  <si>
    <t>23 år</t>
  </si>
  <si>
    <t>24 år</t>
  </si>
  <si>
    <t>25 år</t>
  </si>
  <si>
    <t>26 år</t>
  </si>
  <si>
    <t>27 år</t>
  </si>
  <si>
    <t>28 år</t>
  </si>
  <si>
    <t>29 år</t>
  </si>
  <si>
    <t>30 år</t>
  </si>
  <si>
    <t>1) Fyll ut for lånet her for ny nedbetalingsplan</t>
  </si>
  <si>
    <t>3) Resultat av tilleggsnedbetalingene i tabellen nedenfor</t>
  </si>
  <si>
    <t>Spart nedbetalingstid:</t>
  </si>
  <si>
    <t>Lån nedbetalt:</t>
  </si>
  <si>
    <t>Terminer totalt:</t>
  </si>
  <si>
    <t>Skattefradrag:</t>
  </si>
  <si>
    <t>Ja</t>
  </si>
  <si>
    <t>Siste sats i tabell:</t>
  </si>
  <si>
    <t>Kr-verditermin:</t>
  </si>
  <si>
    <t>Inflasjon pr år:</t>
  </si>
  <si>
    <t>Første måned i tabellen (01.mm.åååå):</t>
  </si>
  <si>
    <t>Effektiv rente:</t>
  </si>
  <si>
    <t>Opprinnelig plan:</t>
  </si>
  <si>
    <t>Min bank reduserer nedbetalingstiden ved tilleggsnedbet.:</t>
  </si>
  <si>
    <t>Ja (anbefalt)</t>
  </si>
  <si>
    <t>Ligningsår:</t>
  </si>
  <si>
    <t>Renter og geb.:</t>
  </si>
  <si>
    <t>Foreslå tilleggsnedbetalinger for stabil månedstotal:</t>
  </si>
  <si>
    <t>Belåningsgrad:</t>
  </si>
  <si>
    <t>%-grensen i kr:</t>
  </si>
  <si>
    <t>Måneder uten avdrag medfører økt:</t>
  </si>
  <si>
    <t>Terminbeløp</t>
  </si>
  <si>
    <t>Gjennomsnittlig tilleggsnedbetaling pr måned:</t>
  </si>
  <si>
    <t>F.o.m. termin:</t>
  </si>
  <si>
    <t>T.o.m. termin:</t>
  </si>
  <si>
    <t>Oppstartsgebyrer (etableringsgebyr, depotgebyr o.l.):</t>
  </si>
  <si>
    <t>Sum for termin:</t>
  </si>
  <si>
    <t>Terminnr d.m.:</t>
  </si>
  <si>
    <t>Nei</t>
  </si>
  <si>
    <t>Gjeldsgrad-mål:</t>
  </si>
  <si>
    <t>Gjeldsgrad nå:</t>
  </si>
  <si>
    <t>2) Fyll ut kolonnene Tilleggsnedbetaling og Rente hver måned. Trykk F9 hvis etterfølgende måneder ikke oppdateres automatisk.</t>
  </si>
  <si>
    <t>Nedbetalingsplan med tilleggsnedbetalinger (tnb)</t>
  </si>
  <si>
    <t>Plan med opprinnelig nedbetalingstid</t>
  </si>
  <si>
    <t>Justering av lånekostnader</t>
  </si>
  <si>
    <t>Betalte termingebyrer</t>
  </si>
  <si>
    <t>Kontantstrøm</t>
  </si>
  <si>
    <t>Delformler for å unngå feil ved filformatkonvertering (mer enn 7 formelnivåer, eller formeltekst lengre enn 1024 tegn)</t>
  </si>
  <si>
    <t>Endret nedbet.-tid (+/- ant. år)</t>
  </si>
  <si>
    <t>(x) Uten avdrag</t>
  </si>
  <si>
    <t>Termin-gebyr</t>
  </si>
  <si>
    <t>Terminer igjen</t>
  </si>
  <si>
    <t>Termin-beløp uten gebyr</t>
  </si>
  <si>
    <t>Ekstra reduksjon av saldo så langt</t>
  </si>
  <si>
    <t>Kapital i låneobjektet</t>
  </si>
  <si>
    <t>For belåningsgrad</t>
  </si>
  <si>
    <t>Annen gjeld for husstanden</t>
  </si>
  <si>
    <t>Husstandens samlede inntekt pr år</t>
  </si>
  <si>
    <t>Radnr der gjeldsgrad-målet nås</t>
  </si>
  <si>
    <t>Gjeldsgrad</t>
  </si>
  <si>
    <t xml:space="preserve">Skattefradrag, prosentsats pr år </t>
  </si>
  <si>
    <t>Kost m/tnb etter eventuelt fradrag</t>
  </si>
  <si>
    <t>Kost u/tnb etter eventuelt fradrag</t>
  </si>
  <si>
    <t>Inflasjonsjustering</t>
  </si>
  <si>
    <t>For plan m/tnb</t>
  </si>
  <si>
    <t>For plan u/tnb</t>
  </si>
  <si>
    <t>Måned</t>
  </si>
  <si>
    <t>Tilleggs-nedbet.</t>
  </si>
  <si>
    <t>Rente (nom.)</t>
  </si>
  <si>
    <t>Avdrag</t>
  </si>
  <si>
    <t>Takst</t>
  </si>
  <si>
    <t>Fellesgjeld</t>
  </si>
  <si>
    <r>
      <rPr>
        <b/>
        <sz val="10"/>
        <rFont val="Arial"/>
        <family val="2"/>
      </rPr>
      <t xml:space="preserve">Prisindeks </t>
    </r>
    <r>
      <rPr>
        <b/>
        <sz val="10"/>
        <color rgb="FF0000FF"/>
        <rFont val="Arial"/>
        <family val="2"/>
      </rPr>
      <t>KPI-JAE</t>
    </r>
    <r>
      <rPr>
        <b/>
        <sz val="10"/>
        <rFont val="Arial"/>
        <family val="2"/>
      </rPr>
      <t>,SSB</t>
    </r>
  </si>
  <si>
    <t>Inflasjon pr måned</t>
  </si>
  <si>
    <t>Inflasjons-faktor</t>
  </si>
  <si>
    <t>Infl.kost m/tnb</t>
  </si>
  <si>
    <t>Infl.kost u/tnb</t>
  </si>
  <si>
    <t>Termingebyr</t>
  </si>
  <si>
    <t>Resultatfelt o.l.</t>
  </si>
  <si>
    <t>Navngitte celler for radnumre og beregnede verdier</t>
  </si>
  <si>
    <t>Navngitte celler for kolonnenumre</t>
  </si>
  <si>
    <t>(tom)</t>
  </si>
  <si>
    <t>Delformel for xx% av takst:</t>
  </si>
  <si>
    <t>Nåværende termin er før tabellens start: t2vDmErPreTabell</t>
  </si>
  <si>
    <t>Nåværende termin er etter tabellens slutt: t2vDmErPostTabell</t>
  </si>
  <si>
    <t>Linjenr i tabellen for denne måneden, eller 0: t2rDenneManed</t>
  </si>
  <si>
    <t>Har d.m. gjeldsgradtall i tabellen lavere eller lik målet: t2vHarDmGjeldsgradtallITabellenLavereEllerLikMalet</t>
  </si>
  <si>
    <t>Linjenr hvor gjeldsgradmålet ble eller blir nådd, eller 0: t2rGjeldsgradTreff</t>
  </si>
  <si>
    <t>Diagram 2: Renteutgifter for begge nedbetalingsplanene i ark nummer to</t>
  </si>
  <si>
    <t>(trykk F9 hvis diagrammet ikke oppdaterer seg automatisk)</t>
  </si>
  <si>
    <t>Diagram 3: Innbetalt for planen med tilleggsnedbetalinger i ark nummer to</t>
  </si>
  <si>
    <t>Diagram 4: Lånesaldo for begge nedbetalingsplanene i ark nummer to</t>
  </si>
  <si>
    <t>Sparte_renteutgifter_OpenOffice og Sparte_renteutgifter_MsOffice v4.0 datert 04.08.2018</t>
  </si>
  <si>
    <r>
      <rPr>
        <sz val="8"/>
        <rFont val="Arial"/>
        <family val="2"/>
      </rPr>
      <t xml:space="preserve">Denne filen ("regnearket") er Copyright 2008, 2009, 2010, 2012, 2018 Mettleine, utgitt under GNU GPL versjon 3 eller nyere og publisert på </t>
    </r>
    <r>
      <rPr>
        <sz val="8"/>
        <color rgb="FF0000FF"/>
        <rFont val="Arial"/>
        <family val="2"/>
      </rPr>
      <t>http://mettleine.wordpress.com/2008/04/27/ekstra-nedbetaling-pa-annuitetslan-og-serielan/</t>
    </r>
    <r>
      <rPr>
        <sz val="8"/>
        <color rgb="FF000066"/>
        <rFont val="Arial"/>
        <family val="2"/>
      </rPr>
      <t xml:space="preserve"> </t>
    </r>
  </si>
  <si>
    <t>Regnearket er fritt tilgjengelig: Du kan distribuere det og/eller modifisere det under betingelsene i GNU General Public License fra Free Software Fundation, enten versjon 3 av lisensen, eller en nyere versjon.</t>
  </si>
  <si>
    <t>I nye utgaver utledet fra dette regnearket må det klart fremgå at det er gjort endringer i forhold til originalen fra Mettleine, og at samme lisens gjelder. Lisensens definisjon av "source code" omfatter,</t>
  </si>
  <si>
    <t>men er ikke begrenset til, formlene i et modifisert regneark. Alle formler, makroer og annen kode i et modifisert regneark må være fritt tilgjengelig i ubeskyttet, lesbar form.</t>
  </si>
  <si>
    <t>Regnearket er gjort tilgjengelig i håp om at det kan være av nytte, men uten noen form for garanti; verken eksplisitt eller implisitt. For flere detaljer, se GNU General Public License.</t>
  </si>
  <si>
    <r>
      <rPr>
        <sz val="8"/>
        <rFont val="Arial"/>
        <family val="2"/>
      </rPr>
      <t xml:space="preserve">Lisensen i sin helhet kan leses på </t>
    </r>
    <r>
      <rPr>
        <sz val="8"/>
        <color rgb="FF000066"/>
        <rFont val="Arial"/>
        <family val="2"/>
      </rPr>
      <t>http://www.gnu.org/licenses/gpl.html</t>
    </r>
  </si>
  <si>
    <t>Serielån</t>
  </si>
  <si>
    <t>Studielån: 217 488</t>
  </si>
  <si>
    <t>Kredittkortrammer: 141k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</si>
</sst>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64" formatCode="[$kr-414]\ #,##0.00;[Red]\-[$kr-414]\ #,##0.00"/>
    <numFmt numFmtId="165" formatCode="[$kr-414]\ #,##0;\-[$kr-414]\ #,##0"/>
    <numFmt numFmtId="166" formatCode="[$kr-414]\ #,##0;[Red]\-[$kr-414]\ #,##0"/>
    <numFmt numFmtId="167" formatCode="&quot;kr &quot;#,##0.00\ ;[Red]&quot;(kr &quot;#,##0.00\)"/>
    <numFmt numFmtId="168" formatCode="0.0"/>
    <numFmt numFmtId="169" formatCode="#,##0.0"/>
    <numFmt numFmtId="170" formatCode="0.0000%"/>
    <numFmt numFmtId="171" formatCode="0.0000"/>
    <numFmt numFmtId="172" formatCode="&quot;SANN&quot;;&quot;SANN&quot;;&quot;USANN&quot;"/>
    <numFmt numFmtId="173" formatCode="0.0\ %"/>
    <numFmt numFmtId="174" formatCode="0.0000\ %"/>
  </numFmts>
  <fonts count="15" x14ac:knownFonts="1">
    <font>
      <sz val="10"/>
      <name val="Arial"/>
      <family val="2"/>
    </font>
    <font>
      <b/>
      <i/>
      <sz val="16"/>
      <name val="Arial"/>
      <family val="2"/>
    </font>
    <font>
      <b/>
      <sz val="10"/>
      <name val="Arial"/>
      <family val="2"/>
    </font>
    <font>
      <sz val="10"/>
      <color rgb="FF808080"/>
      <name val="Arial"/>
      <family val="2"/>
    </font>
    <font>
      <sz val="8"/>
      <color rgb="FF808080"/>
      <name val="Arial"/>
      <family val="2"/>
    </font>
    <font>
      <i/>
      <sz val="8"/>
      <color rgb="FF808080"/>
      <name val="Arial"/>
      <family val="2"/>
    </font>
    <font>
      <sz val="8"/>
      <name val="Arial"/>
      <family val="2"/>
    </font>
    <font>
      <b/>
      <sz val="10"/>
      <color rgb="FF808080"/>
      <name val="Arial"/>
      <family val="2"/>
    </font>
    <font>
      <b/>
      <sz val="8"/>
      <name val="Arial"/>
      <family val="2"/>
    </font>
    <font>
      <b/>
      <sz val="10"/>
      <color rgb="FF0000FF"/>
      <name val="Arial"/>
      <family val="2"/>
    </font>
    <font>
      <sz val="6.8"/>
      <name val="Times New Roman"/>
      <family val="1"/>
    </font>
    <font>
      <i/>
      <sz val="10"/>
      <color rgb="FF808080"/>
      <name val="Arial"/>
      <family val="2"/>
    </font>
    <font>
      <i/>
      <sz val="10"/>
      <name val="Arial"/>
      <family val="2"/>
    </font>
    <font>
      <sz val="8"/>
      <color rgb="FF0000FF"/>
      <name val="Arial"/>
      <family val="2"/>
    </font>
    <font>
      <sz val="8"/>
      <color rgb="FF000066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rgb="FFFFFFCC"/>
        <bgColor rgb="FFFFFFFF"/>
      </patternFill>
    </fill>
    <fill>
      <patternFill patternType="solid">
        <fgColor rgb="FFCCCCCC"/>
        <bgColor rgb="FFCCCCFF"/>
      </patternFill>
    </fill>
    <fill>
      <patternFill patternType="solid">
        <fgColor rgb="FFE6E6E6"/>
        <bgColor rgb="FFFFFFFF"/>
      </patternFill>
    </fill>
    <fill>
      <patternFill patternType="solid">
        <fgColor rgb="FFFFFFFF"/>
        <bgColor rgb="FFFFFFCC"/>
      </patternFill>
    </fill>
  </fills>
  <borders count="45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  <diagonal/>
    </border>
    <border>
      <left style="thin">
        <color rgb="FFFFFFFF"/>
      </left>
      <right/>
      <top style="thin">
        <color rgb="FFFFFFFF"/>
      </top>
      <bottom style="thin">
        <color rgb="FFFFFFFF"/>
      </bottom>
      <diagonal/>
    </border>
    <border>
      <left/>
      <right/>
      <top/>
      <bottom style="thin">
        <color rgb="FF808080"/>
      </bottom>
      <diagonal/>
    </border>
    <border>
      <left style="thick">
        <color rgb="FF808080"/>
      </left>
      <right/>
      <top/>
      <bottom style="thin">
        <color rgb="FF808080"/>
      </bottom>
      <diagonal/>
    </border>
    <border>
      <left style="thick">
        <color rgb="FF808080"/>
      </left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auto="1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 style="thin">
        <color rgb="FFFFFFFF"/>
      </bottom>
      <diagonal/>
    </border>
    <border>
      <left style="thin">
        <color rgb="FFFFFFFF"/>
      </left>
      <right style="thin">
        <color rgb="FFFFFFFF"/>
      </right>
      <top/>
      <bottom style="thin">
        <color auto="1"/>
      </bottom>
      <diagonal/>
    </border>
    <border>
      <left style="thin">
        <color rgb="FFFFFFFF"/>
      </left>
      <right style="thin">
        <color rgb="FFFFFFFF"/>
      </right>
      <top/>
      <bottom/>
      <diagonal/>
    </border>
    <border>
      <left style="thin">
        <color rgb="FFFFFFFF"/>
      </left>
      <right/>
      <top/>
      <bottom/>
      <diagonal/>
    </border>
    <border>
      <left/>
      <right style="thin">
        <color rgb="FFFFFFFF"/>
      </right>
      <top/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 style="thin">
        <color rgb="FFFFFFFF"/>
      </bottom>
      <diagonal/>
    </border>
    <border>
      <left/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  <bottom/>
      <diagonal/>
    </border>
    <border>
      <left style="thin">
        <color rgb="FFFFFFFF"/>
      </left>
      <right/>
      <top style="thin">
        <color rgb="FFFFFFFF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FFFFFF"/>
      </bottom>
      <diagonal/>
    </border>
    <border>
      <left/>
      <right style="thin">
        <color auto="1"/>
      </right>
      <top style="thin">
        <color auto="1"/>
      </top>
      <bottom style="thin">
        <color rgb="FFFFFFFF"/>
      </bottom>
      <diagonal/>
    </border>
    <border>
      <left/>
      <right/>
      <top style="thin">
        <color rgb="FF808080"/>
      </top>
      <bottom style="thin">
        <color rgb="FFFFFFFF"/>
      </bottom>
      <diagonal/>
    </border>
    <border>
      <left style="thick">
        <color rgb="FF808080"/>
      </left>
      <right/>
      <top style="thin">
        <color rgb="FF808080"/>
      </top>
      <bottom/>
      <diagonal/>
    </border>
    <border>
      <left style="thick">
        <color rgb="FF808080"/>
      </left>
      <right style="thin">
        <color rgb="FF808080"/>
      </right>
      <top style="thin">
        <color rgb="FF808080"/>
      </top>
      <bottom style="thin">
        <color rgb="FFFFFFFF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FFFFFF"/>
      </bottom>
      <diagonal/>
    </border>
    <border>
      <left style="thin">
        <color auto="1"/>
      </left>
      <right style="thin">
        <color rgb="FFFFFFFF"/>
      </right>
      <top style="thin">
        <color rgb="FF808080"/>
      </top>
      <bottom style="thin">
        <color rgb="FFFFFFFF"/>
      </bottom>
      <diagonal/>
    </border>
    <border>
      <left style="thin">
        <color auto="1"/>
      </left>
      <right style="thin">
        <color rgb="FFFFFFFF"/>
      </right>
      <top style="thin">
        <color rgb="FF808080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808080"/>
      </top>
      <bottom style="thin">
        <color auto="1"/>
      </bottom>
      <diagonal/>
    </border>
    <border>
      <left style="thin">
        <color rgb="FFFFFFFF"/>
      </left>
      <right style="thin">
        <color rgb="FFFFFFFF"/>
      </right>
      <top style="thin">
        <color rgb="FF808080"/>
      </top>
      <bottom style="thin">
        <color rgb="FF808080"/>
      </bottom>
      <diagonal/>
    </border>
    <border>
      <left style="thin">
        <color rgb="FFFFFFFF"/>
      </left>
      <right style="thin">
        <color rgb="FFFFFFFF"/>
      </right>
      <top style="thin">
        <color rgb="FF808080"/>
      </top>
      <bottom style="thin">
        <color rgb="FFFFFFFF"/>
      </bottom>
      <diagonal/>
    </border>
    <border>
      <left style="thick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rgb="FFFFFFFF"/>
      </top>
      <bottom style="thin">
        <color rgb="FFFFFFFF"/>
      </bottom>
      <diagonal/>
    </border>
    <border>
      <left style="thin">
        <color auto="1"/>
      </left>
      <right style="thin">
        <color auto="1"/>
      </right>
      <top style="thin">
        <color rgb="FFFFFFFF"/>
      </top>
      <bottom style="thin">
        <color rgb="FF808080"/>
      </bottom>
      <diagonal/>
    </border>
    <border>
      <left/>
      <right style="thin">
        <color auto="1"/>
      </right>
      <top style="thin">
        <color rgb="FFFFFFFF"/>
      </top>
      <bottom style="thin">
        <color rgb="FF808080"/>
      </bottom>
      <diagonal/>
    </border>
    <border>
      <left/>
      <right/>
      <top style="thin">
        <color rgb="FFFFFFFF"/>
      </top>
      <bottom style="thin">
        <color rgb="FF808080"/>
      </bottom>
      <diagonal/>
    </border>
    <border>
      <left style="thick">
        <color rgb="FF808080"/>
      </left>
      <right/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ck">
        <color rgb="FF808080"/>
      </left>
      <right style="thin">
        <color rgb="FF808080"/>
      </right>
      <top style="thin">
        <color rgb="FFFFFFFF"/>
      </top>
      <bottom style="thin">
        <color rgb="FF808080"/>
      </bottom>
      <diagonal/>
    </border>
    <border>
      <left style="thin">
        <color rgb="FF808080"/>
      </left>
      <right style="thin">
        <color rgb="FF808080"/>
      </right>
      <top style="thin">
        <color rgb="FFFFFFFF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ck">
        <color rgb="FF808080"/>
      </left>
      <right style="thin">
        <color auto="1"/>
      </right>
      <top style="thin">
        <color auto="1"/>
      </top>
      <bottom style="thin">
        <color rgb="FF808080"/>
      </bottom>
      <diagonal/>
    </border>
    <border>
      <left style="thin">
        <color auto="1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808080"/>
      </left>
      <right style="thin">
        <color auto="1"/>
      </right>
      <top style="thin">
        <color rgb="FF808080"/>
      </top>
      <bottom style="thin">
        <color rgb="FF80808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rgb="FF808080"/>
      </bottom>
      <diagonal/>
    </border>
    <border>
      <left/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FFFFFF"/>
      </left>
      <right/>
      <top/>
      <bottom style="thin">
        <color rgb="FFFFFFFF"/>
      </bottom>
      <diagonal/>
    </border>
  </borders>
  <cellStyleXfs count="2">
    <xf numFmtId="0" fontId="0" fillId="0" borderId="0"/>
    <xf numFmtId="0" fontId="1" fillId="0" borderId="0" applyBorder="0" applyProtection="0">
      <alignment horizontal="center" textRotation="90"/>
    </xf>
  </cellStyleXfs>
  <cellXfs count="319">
    <xf numFmtId="0" fontId="0" fillId="0" borderId="0" xfId="0"/>
    <xf numFmtId="0" fontId="2" fillId="0" borderId="1" xfId="0" applyFont="1" applyBorder="1" applyAlignment="1">
      <alignment horizontal="left"/>
    </xf>
    <xf numFmtId="164" fontId="0" fillId="0" borderId="1" xfId="0" applyNumberFormat="1" applyBorder="1"/>
    <xf numFmtId="164" fontId="3" fillId="0" borderId="2" xfId="0" applyNumberFormat="1" applyFont="1" applyBorder="1" applyAlignment="1">
      <alignment horizontal="center"/>
    </xf>
    <xf numFmtId="0" fontId="0" fillId="0" borderId="1" xfId="0" applyBorder="1"/>
    <xf numFmtId="166" fontId="0" fillId="2" borderId="1" xfId="0" applyNumberFormat="1" applyFill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center"/>
    </xf>
    <xf numFmtId="0" fontId="0" fillId="0" borderId="2" xfId="0" applyBorder="1"/>
    <xf numFmtId="166" fontId="0" fillId="2" borderId="1" xfId="0" applyNumberFormat="1" applyFill="1" applyBorder="1"/>
    <xf numFmtId="0" fontId="3" fillId="3" borderId="0" xfId="0" applyFont="1" applyFill="1" applyAlignment="1">
      <alignment horizontal="center"/>
    </xf>
    <xf numFmtId="165" fontId="3" fillId="3" borderId="5" xfId="0" applyNumberFormat="1" applyFont="1" applyFill="1" applyBorder="1"/>
    <xf numFmtId="165" fontId="3" fillId="3" borderId="0" xfId="0" applyNumberFormat="1" applyFont="1" applyFill="1"/>
    <xf numFmtId="2" fontId="0" fillId="2" borderId="1" xfId="0" applyNumberFormat="1" applyFill="1" applyBorder="1"/>
    <xf numFmtId="0" fontId="3" fillId="4" borderId="0" xfId="0" applyFont="1" applyFill="1" applyAlignment="1">
      <alignment horizontal="center"/>
    </xf>
    <xf numFmtId="165" fontId="3" fillId="4" borderId="5" xfId="0" applyNumberFormat="1" applyFont="1" applyFill="1" applyBorder="1"/>
    <xf numFmtId="165" fontId="3" fillId="4" borderId="0" xfId="0" applyNumberFormat="1" applyFont="1" applyFill="1"/>
    <xf numFmtId="167" fontId="0" fillId="0" borderId="1" xfId="0" applyNumberFormat="1" applyBorder="1"/>
    <xf numFmtId="166" fontId="0" fillId="4" borderId="7" xfId="0" applyNumberFormat="1" applyFill="1" applyBorder="1"/>
    <xf numFmtId="10" fontId="4" fillId="0" borderId="1" xfId="0" applyNumberFormat="1" applyFont="1" applyBorder="1" applyAlignment="1">
      <alignment horizontal="left"/>
    </xf>
    <xf numFmtId="10" fontId="3" fillId="0" borderId="1" xfId="0" applyNumberFormat="1" applyFont="1" applyBorder="1" applyAlignment="1">
      <alignment horizontal="center"/>
    </xf>
    <xf numFmtId="164" fontId="0" fillId="0" borderId="8" xfId="0" applyNumberFormat="1" applyBorder="1"/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164" fontId="3" fillId="0" borderId="1" xfId="0" applyNumberFormat="1" applyFont="1" applyBorder="1" applyAlignment="1">
      <alignment horizontal="right"/>
    </xf>
    <xf numFmtId="164" fontId="3" fillId="0" borderId="1" xfId="0" applyNumberFormat="1" applyFont="1" applyBorder="1" applyAlignment="1">
      <alignment horizontal="center"/>
    </xf>
    <xf numFmtId="0" fontId="3" fillId="0" borderId="1" xfId="0" applyFont="1" applyBorder="1"/>
    <xf numFmtId="1" fontId="3" fillId="4" borderId="6" xfId="0" applyNumberFormat="1" applyFont="1" applyFill="1" applyBorder="1" applyAlignment="1">
      <alignment horizontal="right"/>
    </xf>
    <xf numFmtId="1" fontId="3" fillId="0" borderId="1" xfId="0" applyNumberFormat="1" applyFont="1" applyBorder="1"/>
    <xf numFmtId="168" fontId="0" fillId="4" borderId="9" xfId="0" applyNumberFormat="1" applyFill="1" applyBorder="1" applyAlignment="1">
      <alignment horizontal="right"/>
    </xf>
    <xf numFmtId="168" fontId="0" fillId="0" borderId="1" xfId="0" applyNumberFormat="1" applyBorder="1" applyAlignment="1">
      <alignment horizontal="right"/>
    </xf>
    <xf numFmtId="168" fontId="0" fillId="0" borderId="8" xfId="0" applyNumberFormat="1" applyBorder="1" applyAlignment="1">
      <alignment horizontal="right"/>
    </xf>
    <xf numFmtId="168" fontId="3" fillId="0" borderId="1" xfId="0" applyNumberFormat="1" applyFont="1" applyBorder="1" applyAlignment="1">
      <alignment horizontal="center"/>
    </xf>
    <xf numFmtId="0" fontId="0" fillId="0" borderId="1" xfId="0" applyBorder="1" applyAlignment="1">
      <alignment horizontal="right"/>
    </xf>
    <xf numFmtId="0" fontId="3" fillId="0" borderId="0" xfId="0" applyFont="1"/>
    <xf numFmtId="166" fontId="3" fillId="4" borderId="1" xfId="0" applyNumberFormat="1" applyFont="1" applyFill="1" applyBorder="1" applyAlignment="1">
      <alignment horizontal="right"/>
    </xf>
    <xf numFmtId="166" fontId="3" fillId="0" borderId="1" xfId="0" applyNumberFormat="1" applyFont="1" applyBorder="1" applyAlignment="1">
      <alignment horizontal="right"/>
    </xf>
    <xf numFmtId="166" fontId="3" fillId="4" borderId="6" xfId="0" applyNumberFormat="1" applyFont="1" applyFill="1" applyBorder="1" applyAlignment="1">
      <alignment horizontal="right"/>
    </xf>
    <xf numFmtId="166" fontId="3" fillId="0" borderId="1" xfId="0" applyNumberFormat="1" applyFont="1" applyBorder="1"/>
    <xf numFmtId="166" fontId="0" fillId="4" borderId="9" xfId="0" applyNumberFormat="1" applyFill="1" applyBorder="1" applyAlignment="1">
      <alignment horizontal="right"/>
    </xf>
    <xf numFmtId="166" fontId="0" fillId="0" borderId="1" xfId="0" applyNumberFormat="1" applyBorder="1"/>
    <xf numFmtId="167" fontId="0" fillId="0" borderId="8" xfId="0" applyNumberFormat="1" applyBorder="1"/>
    <xf numFmtId="0" fontId="4" fillId="0" borderId="1" xfId="0" applyFont="1" applyBorder="1"/>
    <xf numFmtId="0" fontId="2" fillId="0" borderId="1" xfId="0" applyFont="1" applyBorder="1" applyAlignment="1">
      <alignment horizontal="right"/>
    </xf>
    <xf numFmtId="167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wrapText="1"/>
    </xf>
    <xf numFmtId="0" fontId="4" fillId="0" borderId="1" xfId="0" applyFont="1" applyBorder="1" applyAlignment="1">
      <alignment wrapText="1"/>
    </xf>
    <xf numFmtId="0" fontId="3" fillId="0" borderId="10" xfId="0" applyFont="1" applyBorder="1" applyAlignment="1">
      <alignment horizontal="center"/>
    </xf>
    <xf numFmtId="165" fontId="3" fillId="0" borderId="10" xfId="0" applyNumberFormat="1" applyFont="1" applyBorder="1"/>
    <xf numFmtId="165" fontId="3" fillId="0" borderId="11" xfId="0" applyNumberFormat="1" applyFont="1" applyBorder="1"/>
    <xf numFmtId="165" fontId="3" fillId="0" borderId="1" xfId="0" applyNumberFormat="1" applyFont="1" applyBorder="1"/>
    <xf numFmtId="165" fontId="3" fillId="0" borderId="2" xfId="0" applyNumberFormat="1" applyFont="1" applyBorder="1"/>
    <xf numFmtId="0" fontId="5" fillId="0" borderId="1" xfId="0" applyFont="1" applyBorder="1" applyAlignment="1">
      <alignment horizontal="left"/>
    </xf>
    <xf numFmtId="0" fontId="3" fillId="0" borderId="2" xfId="0" applyFont="1" applyBorder="1"/>
    <xf numFmtId="0" fontId="4" fillId="0" borderId="1" xfId="0" applyFont="1" applyBorder="1" applyAlignment="1">
      <alignment horizontal="left"/>
    </xf>
    <xf numFmtId="0" fontId="0" fillId="0" borderId="10" xfId="0" applyBorder="1"/>
    <xf numFmtId="165" fontId="2" fillId="0" borderId="1" xfId="0" applyNumberFormat="1" applyFont="1" applyBorder="1" applyAlignment="1">
      <alignment horizontal="left"/>
    </xf>
    <xf numFmtId="165" fontId="2" fillId="0" borderId="1" xfId="0" applyNumberFormat="1" applyFont="1" applyBorder="1"/>
    <xf numFmtId="165" fontId="3" fillId="0" borderId="12" xfId="0" applyNumberFormat="1" applyFont="1" applyBorder="1"/>
    <xf numFmtId="0" fontId="0" fillId="0" borderId="2" xfId="0" applyBorder="1" applyAlignment="1">
      <alignment horizontal="right"/>
    </xf>
    <xf numFmtId="169" fontId="0" fillId="0" borderId="2" xfId="0" applyNumberFormat="1" applyBorder="1" applyAlignment="1">
      <alignment horizontal="right"/>
    </xf>
    <xf numFmtId="170" fontId="3" fillId="0" borderId="1" xfId="0" applyNumberFormat="1" applyFont="1" applyBorder="1"/>
    <xf numFmtId="171" fontId="3" fillId="0" borderId="1" xfId="0" applyNumberFormat="1" applyFont="1" applyBorder="1"/>
    <xf numFmtId="3" fontId="3" fillId="0" borderId="2" xfId="0" applyNumberFormat="1" applyFont="1" applyBorder="1"/>
    <xf numFmtId="165" fontId="0" fillId="0" borderId="1" xfId="0" applyNumberFormat="1" applyBorder="1"/>
    <xf numFmtId="10" fontId="0" fillId="0" borderId="1" xfId="0" applyNumberFormat="1" applyBorder="1" applyAlignment="1">
      <alignment horizontal="right"/>
    </xf>
    <xf numFmtId="4" fontId="0" fillId="0" borderId="1" xfId="0" applyNumberFormat="1" applyBorder="1"/>
    <xf numFmtId="165" fontId="0" fillId="0" borderId="1" xfId="0" applyNumberFormat="1" applyBorder="1" applyAlignment="1">
      <alignment horizontal="left"/>
    </xf>
    <xf numFmtId="166" fontId="0" fillId="0" borderId="1" xfId="0" applyNumberFormat="1" applyBorder="1" applyAlignment="1">
      <alignment horizontal="left"/>
    </xf>
    <xf numFmtId="0" fontId="4" fillId="0" borderId="13" xfId="0" applyFont="1" applyBorder="1" applyAlignment="1">
      <alignment horizontal="right"/>
    </xf>
    <xf numFmtId="166" fontId="4" fillId="4" borderId="1" xfId="0" applyNumberFormat="1" applyFont="1" applyFill="1" applyBorder="1" applyAlignment="1">
      <alignment horizontal="right"/>
    </xf>
    <xf numFmtId="0" fontId="4" fillId="0" borderId="1" xfId="0" applyFont="1" applyBorder="1" applyAlignment="1">
      <alignment horizontal="right"/>
    </xf>
    <xf numFmtId="0" fontId="4" fillId="4" borderId="1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right"/>
    </xf>
    <xf numFmtId="0" fontId="6" fillId="0" borderId="8" xfId="0" applyFont="1" applyBorder="1" applyAlignment="1">
      <alignment horizontal="left"/>
    </xf>
    <xf numFmtId="3" fontId="6" fillId="2" borderId="1" xfId="0" applyNumberFormat="1" applyFont="1" applyFill="1" applyBorder="1" applyAlignment="1">
      <alignment horizontal="right"/>
    </xf>
    <xf numFmtId="0" fontId="6" fillId="0" borderId="8" xfId="0" applyFont="1" applyBorder="1"/>
    <xf numFmtId="166" fontId="4" fillId="0" borderId="1" xfId="0" applyNumberFormat="1" applyFont="1" applyBorder="1"/>
    <xf numFmtId="0" fontId="6" fillId="0" borderId="14" xfId="0" applyFont="1" applyBorder="1"/>
    <xf numFmtId="10" fontId="4" fillId="0" borderId="1" xfId="0" applyNumberFormat="1" applyFont="1" applyBorder="1" applyAlignment="1">
      <alignment horizontal="right"/>
    </xf>
    <xf numFmtId="164" fontId="6" fillId="0" borderId="1" xfId="0" applyNumberFormat="1" applyFont="1" applyBorder="1" applyAlignment="1">
      <alignment horizontal="left"/>
    </xf>
    <xf numFmtId="0" fontId="6" fillId="0" borderId="1" xfId="0" applyFont="1" applyBorder="1"/>
    <xf numFmtId="10" fontId="6" fillId="0" borderId="1" xfId="0" applyNumberFormat="1" applyFont="1" applyBorder="1"/>
    <xf numFmtId="10" fontId="6" fillId="0" borderId="1" xfId="0" applyNumberFormat="1" applyFont="1" applyBorder="1" applyAlignment="1">
      <alignment horizontal="right"/>
    </xf>
    <xf numFmtId="4" fontId="6" fillId="0" borderId="1" xfId="0" applyNumberFormat="1" applyFont="1" applyBorder="1"/>
    <xf numFmtId="14" fontId="6" fillId="0" borderId="1" xfId="0" applyNumberFormat="1" applyFont="1" applyBorder="1" applyAlignment="1">
      <alignment horizontal="right"/>
    </xf>
    <xf numFmtId="166" fontId="6" fillId="0" borderId="1" xfId="0" applyNumberFormat="1" applyFont="1" applyBorder="1"/>
    <xf numFmtId="0" fontId="6" fillId="0" borderId="1" xfId="0" applyFont="1" applyBorder="1" applyAlignment="1">
      <alignment horizontal="left"/>
    </xf>
    <xf numFmtId="3" fontId="4" fillId="4" borderId="1" xfId="0" applyNumberFormat="1" applyFont="1" applyFill="1" applyBorder="1" applyAlignment="1">
      <alignment horizontal="right"/>
    </xf>
    <xf numFmtId="4" fontId="6" fillId="2" borderId="1" xfId="0" applyNumberFormat="1" applyFont="1" applyFill="1" applyBorder="1" applyAlignment="1">
      <alignment horizontal="right"/>
    </xf>
    <xf numFmtId="4" fontId="4" fillId="4" borderId="1" xfId="0" applyNumberFormat="1" applyFont="1" applyFill="1" applyBorder="1" applyAlignment="1">
      <alignment horizontal="right"/>
    </xf>
    <xf numFmtId="165" fontId="3" fillId="0" borderId="1" xfId="0" applyNumberFormat="1" applyFont="1" applyBorder="1" applyAlignment="1">
      <alignment horizontal="center"/>
    </xf>
    <xf numFmtId="0" fontId="2" fillId="0" borderId="14" xfId="0" applyFont="1" applyBorder="1"/>
    <xf numFmtId="0" fontId="3" fillId="0" borderId="12" xfId="0" applyFont="1" applyBorder="1"/>
    <xf numFmtId="165" fontId="3" fillId="0" borderId="8" xfId="0" applyNumberFormat="1" applyFont="1" applyBorder="1"/>
    <xf numFmtId="165" fontId="0" fillId="0" borderId="1" xfId="0" applyNumberFormat="1" applyBorder="1" applyAlignment="1">
      <alignment horizontal="right"/>
    </xf>
    <xf numFmtId="170" fontId="3" fillId="0" borderId="1" xfId="0" applyNumberFormat="1" applyFont="1" applyBorder="1" applyAlignment="1">
      <alignment horizontal="left"/>
    </xf>
    <xf numFmtId="0" fontId="4" fillId="0" borderId="15" xfId="0" applyFont="1" applyBorder="1" applyAlignment="1">
      <alignment horizontal="left" vertical="top"/>
    </xf>
    <xf numFmtId="165" fontId="4" fillId="0" borderId="15" xfId="0" applyNumberFormat="1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wrapText="1"/>
    </xf>
    <xf numFmtId="165" fontId="0" fillId="0" borderId="15" xfId="0" applyNumberFormat="1" applyBorder="1" applyAlignment="1">
      <alignment horizontal="center" wrapText="1"/>
    </xf>
    <xf numFmtId="0" fontId="4" fillId="0" borderId="15" xfId="0" applyFont="1" applyBorder="1" applyAlignment="1">
      <alignment horizontal="right" vertical="top"/>
    </xf>
    <xf numFmtId="166" fontId="3" fillId="0" borderId="15" xfId="0" applyNumberFormat="1" applyFont="1" applyBorder="1" applyAlignment="1">
      <alignment horizontal="center" wrapText="1"/>
    </xf>
    <xf numFmtId="0" fontId="3" fillId="0" borderId="14" xfId="0" applyFont="1" applyBorder="1"/>
    <xf numFmtId="165" fontId="3" fillId="0" borderId="15" xfId="0" applyNumberFormat="1" applyFont="1" applyBorder="1"/>
    <xf numFmtId="165" fontId="0" fillId="0" borderId="15" xfId="0" applyNumberFormat="1" applyBorder="1" applyAlignment="1">
      <alignment horizontal="right"/>
    </xf>
    <xf numFmtId="165" fontId="3" fillId="0" borderId="16" xfId="0" applyNumberFormat="1" applyFont="1" applyBorder="1"/>
    <xf numFmtId="165" fontId="3" fillId="0" borderId="15" xfId="0" applyNumberFormat="1" applyFont="1" applyBorder="1" applyAlignment="1">
      <alignment horizontal="center" wrapText="1"/>
    </xf>
    <xf numFmtId="166" fontId="3" fillId="0" borderId="15" xfId="0" applyNumberFormat="1" applyFont="1" applyBorder="1"/>
    <xf numFmtId="0" fontId="0" fillId="0" borderId="16" xfId="0" applyBorder="1"/>
    <xf numFmtId="170" fontId="3" fillId="0" borderId="15" xfId="0" applyNumberFormat="1" applyFont="1" applyBorder="1"/>
    <xf numFmtId="171" fontId="3" fillId="0" borderId="15" xfId="0" applyNumberFormat="1" applyFont="1" applyBorder="1"/>
    <xf numFmtId="3" fontId="3" fillId="0" borderId="16" xfId="0" applyNumberFormat="1" applyFont="1" applyBorder="1"/>
    <xf numFmtId="0" fontId="2" fillId="0" borderId="17" xfId="0" applyFont="1" applyBorder="1" applyAlignment="1">
      <alignment horizontal="center" vertical="center"/>
    </xf>
    <xf numFmtId="165" fontId="2" fillId="0" borderId="17" xfId="0" applyNumberFormat="1" applyFont="1" applyBorder="1" applyAlignment="1">
      <alignment horizontal="center" vertical="center" wrapText="1"/>
    </xf>
    <xf numFmtId="10" fontId="2" fillId="0" borderId="17" xfId="0" applyNumberFormat="1" applyFont="1" applyBorder="1" applyAlignment="1">
      <alignment horizontal="center" vertical="center" wrapText="1"/>
    </xf>
    <xf numFmtId="4" fontId="2" fillId="0" borderId="17" xfId="0" applyNumberFormat="1" applyFont="1" applyBorder="1" applyAlignment="1">
      <alignment horizontal="center" vertical="center"/>
    </xf>
    <xf numFmtId="166" fontId="2" fillId="0" borderId="18" xfId="0" applyNumberFormat="1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0" borderId="21" xfId="0" applyFont="1" applyBorder="1" applyAlignment="1">
      <alignment horizontal="center" vertical="center" wrapText="1"/>
    </xf>
    <xf numFmtId="165" fontId="7" fillId="0" borderId="22" xfId="0" applyNumberFormat="1" applyFont="1" applyBorder="1" applyAlignment="1">
      <alignment horizontal="center" vertical="center" wrapText="1"/>
    </xf>
    <xf numFmtId="165" fontId="0" fillId="0" borderId="23" xfId="0" applyNumberFormat="1" applyBorder="1" applyAlignment="1">
      <alignment horizontal="center"/>
    </xf>
    <xf numFmtId="165" fontId="7" fillId="0" borderId="24" xfId="0" applyNumberFormat="1" applyFont="1" applyBorder="1" applyAlignment="1">
      <alignment horizontal="center"/>
    </xf>
    <xf numFmtId="165" fontId="0" fillId="0" borderId="25" xfId="0" applyNumberFormat="1" applyBorder="1" applyAlignment="1">
      <alignment horizontal="right"/>
    </xf>
    <xf numFmtId="165" fontId="0" fillId="0" borderId="25" xfId="0" applyNumberFormat="1" applyBorder="1" applyAlignment="1">
      <alignment horizontal="center"/>
    </xf>
    <xf numFmtId="165" fontId="7" fillId="0" borderId="26" xfId="0" applyNumberFormat="1" applyFont="1" applyBorder="1" applyAlignment="1">
      <alignment horizontal="center" vertical="center" wrapText="1"/>
    </xf>
    <xf numFmtId="165" fontId="7" fillId="0" borderId="27" xfId="0" applyNumberFormat="1" applyFont="1" applyBorder="1" applyAlignment="1">
      <alignment horizontal="center" vertical="center" wrapText="1"/>
    </xf>
    <xf numFmtId="166" fontId="7" fillId="0" borderId="21" xfId="0" applyNumberFormat="1" applyFont="1" applyBorder="1" applyAlignment="1">
      <alignment horizontal="center" vertical="center" wrapText="1"/>
    </xf>
    <xf numFmtId="166" fontId="7" fillId="0" borderId="28" xfId="0" applyNumberFormat="1" applyFont="1" applyBorder="1" applyAlignment="1">
      <alignment horizontal="center" vertical="center" wrapText="1"/>
    </xf>
    <xf numFmtId="0" fontId="2" fillId="0" borderId="29" xfId="0" applyFont="1" applyBorder="1" applyAlignment="1">
      <alignment horizontal="center" vertical="center"/>
    </xf>
    <xf numFmtId="165" fontId="2" fillId="0" borderId="29" xfId="0" applyNumberFormat="1" applyFont="1" applyBorder="1" applyAlignment="1">
      <alignment horizontal="center" vertical="center" wrapText="1"/>
    </xf>
    <xf numFmtId="10" fontId="2" fillId="0" borderId="29" xfId="0" applyNumberFormat="1" applyFont="1" applyBorder="1" applyAlignment="1">
      <alignment horizontal="center" vertical="center" wrapText="1"/>
    </xf>
    <xf numFmtId="165" fontId="7" fillId="0" borderId="22" xfId="0" applyNumberFormat="1" applyFont="1" applyBorder="1" applyAlignment="1">
      <alignment horizontal="center" vertical="center"/>
    </xf>
    <xf numFmtId="166" fontId="7" fillId="0" borderId="22" xfId="0" applyNumberFormat="1" applyFont="1" applyBorder="1" applyAlignment="1">
      <alignment horizontal="center" vertical="center"/>
    </xf>
    <xf numFmtId="165" fontId="7" fillId="0" borderId="36" xfId="0" applyNumberFormat="1" applyFont="1" applyBorder="1" applyAlignment="1">
      <alignment horizontal="center" vertical="center" wrapText="1"/>
    </xf>
    <xf numFmtId="165" fontId="7" fillId="0" borderId="21" xfId="0" applyNumberFormat="1" applyFont="1" applyBorder="1" applyAlignment="1">
      <alignment horizontal="center" vertical="center" wrapText="1"/>
    </xf>
    <xf numFmtId="166" fontId="7" fillId="0" borderId="34" xfId="0" applyNumberFormat="1" applyFont="1" applyBorder="1" applyAlignment="1">
      <alignment horizontal="center" vertical="center" wrapText="1"/>
    </xf>
    <xf numFmtId="165" fontId="7" fillId="0" borderId="34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30" xfId="0" applyFont="1" applyBorder="1" applyAlignment="1">
      <alignment horizontal="center" vertical="center"/>
    </xf>
    <xf numFmtId="165" fontId="2" fillId="0" borderId="30" xfId="0" applyNumberFormat="1" applyFont="1" applyBorder="1" applyAlignment="1">
      <alignment horizontal="center" vertical="center" wrapText="1"/>
    </xf>
    <xf numFmtId="10" fontId="2" fillId="0" borderId="30" xfId="0" applyNumberFormat="1" applyFont="1" applyBorder="1" applyAlignment="1">
      <alignment horizontal="center" vertical="center" wrapText="1"/>
    </xf>
    <xf numFmtId="165" fontId="7" fillId="0" borderId="36" xfId="0" applyNumberFormat="1" applyFont="1" applyBorder="1" applyAlignment="1">
      <alignment horizontal="center" vertical="center"/>
    </xf>
    <xf numFmtId="166" fontId="7" fillId="0" borderId="36" xfId="0" applyNumberFormat="1" applyFont="1" applyBorder="1" applyAlignment="1">
      <alignment horizontal="center" vertical="center"/>
    </xf>
    <xf numFmtId="165" fontId="2" fillId="0" borderId="42" xfId="0" applyNumberFormat="1" applyFont="1" applyBorder="1" applyAlignment="1">
      <alignment horizontal="center" vertical="center" wrapText="1"/>
    </xf>
    <xf numFmtId="165" fontId="7" fillId="0" borderId="35" xfId="0" applyNumberFormat="1" applyFont="1" applyBorder="1" applyAlignment="1">
      <alignment horizontal="center" vertical="center" wrapText="1"/>
    </xf>
    <xf numFmtId="169" fontId="2" fillId="0" borderId="42" xfId="0" applyNumberFormat="1" applyFont="1" applyBorder="1" applyAlignment="1">
      <alignment horizontal="center" vertical="center" wrapText="1"/>
    </xf>
    <xf numFmtId="170" fontId="7" fillId="0" borderId="43" xfId="0" applyNumberFormat="1" applyFont="1" applyBorder="1" applyAlignment="1">
      <alignment horizontal="center" vertical="center" wrapText="1"/>
    </xf>
    <xf numFmtId="171" fontId="7" fillId="0" borderId="34" xfId="0" applyNumberFormat="1" applyFont="1" applyBorder="1" applyAlignment="1">
      <alignment horizontal="center" vertical="center" wrapText="1"/>
    </xf>
    <xf numFmtId="3" fontId="7" fillId="0" borderId="34" xfId="0" applyNumberFormat="1" applyFont="1" applyBorder="1" applyAlignment="1">
      <alignment horizontal="center" vertical="center" wrapText="1"/>
    </xf>
    <xf numFmtId="0" fontId="7" fillId="0" borderId="34" xfId="0" applyFont="1" applyBorder="1" applyAlignment="1">
      <alignment horizontal="center" vertical="center"/>
    </xf>
    <xf numFmtId="166" fontId="7" fillId="0" borderId="35" xfId="0" applyNumberFormat="1" applyFont="1" applyBorder="1" applyAlignment="1">
      <alignment horizontal="center" vertical="center" wrapText="1"/>
    </xf>
    <xf numFmtId="0" fontId="0" fillId="4" borderId="0" xfId="0" applyFill="1" applyAlignment="1">
      <alignment horizontal="right"/>
    </xf>
    <xf numFmtId="165" fontId="0" fillId="4" borderId="0" xfId="0" applyNumberFormat="1" applyFill="1"/>
    <xf numFmtId="4" fontId="0" fillId="4" borderId="0" xfId="0" applyNumberFormat="1" applyFill="1" applyAlignment="1">
      <alignment horizontal="center"/>
    </xf>
    <xf numFmtId="0" fontId="0" fillId="4" borderId="0" xfId="0" applyFill="1" applyAlignment="1">
      <alignment horizontal="center"/>
    </xf>
    <xf numFmtId="166" fontId="0" fillId="4" borderId="0" xfId="0" applyNumberFormat="1" applyFill="1" applyAlignment="1">
      <alignment horizontal="right"/>
    </xf>
    <xf numFmtId="1" fontId="3" fillId="4" borderId="5" xfId="0" applyNumberFormat="1" applyFont="1" applyFill="1" applyBorder="1" applyAlignment="1">
      <alignment horizontal="center"/>
    </xf>
    <xf numFmtId="166" fontId="3" fillId="4" borderId="0" xfId="0" applyNumberFormat="1" applyFont="1" applyFill="1"/>
    <xf numFmtId="0" fontId="3" fillId="4" borderId="5" xfId="0" applyFont="1" applyFill="1" applyBorder="1"/>
    <xf numFmtId="165" fontId="0" fillId="5" borderId="0" xfId="0" applyNumberFormat="1" applyFill="1" applyAlignment="1">
      <alignment horizontal="right"/>
    </xf>
    <xf numFmtId="1" fontId="3" fillId="4" borderId="0" xfId="0" applyNumberFormat="1" applyFont="1" applyFill="1" applyAlignment="1">
      <alignment horizontal="center"/>
    </xf>
    <xf numFmtId="2" fontId="3" fillId="4" borderId="0" xfId="0" applyNumberFormat="1" applyFont="1" applyFill="1" applyAlignment="1">
      <alignment horizontal="center"/>
    </xf>
    <xf numFmtId="165" fontId="3" fillId="4" borderId="5" xfId="0" applyNumberFormat="1" applyFont="1" applyFill="1" applyBorder="1" applyAlignment="1">
      <alignment horizontal="center"/>
    </xf>
    <xf numFmtId="165" fontId="3" fillId="4" borderId="0" xfId="0" applyNumberFormat="1" applyFont="1" applyFill="1" applyAlignment="1">
      <alignment horizontal="right"/>
    </xf>
    <xf numFmtId="169" fontId="0" fillId="0" borderId="0" xfId="0" applyNumberFormat="1" applyAlignment="1">
      <alignment horizontal="right"/>
    </xf>
    <xf numFmtId="171" fontId="3" fillId="4" borderId="0" xfId="0" applyNumberFormat="1" applyFont="1" applyFill="1"/>
    <xf numFmtId="0" fontId="3" fillId="4" borderId="0" xfId="0" applyFont="1" applyFill="1"/>
    <xf numFmtId="166" fontId="3" fillId="4" borderId="5" xfId="0" applyNumberFormat="1" applyFont="1" applyFill="1" applyBorder="1"/>
    <xf numFmtId="3" fontId="3" fillId="4" borderId="0" xfId="0" applyNumberFormat="1" applyFont="1" applyFill="1"/>
    <xf numFmtId="0" fontId="3" fillId="4" borderId="0" xfId="0" applyFont="1" applyFill="1" applyAlignment="1">
      <alignment horizontal="right"/>
    </xf>
    <xf numFmtId="0" fontId="0" fillId="3" borderId="0" xfId="0" applyFill="1" applyAlignment="1">
      <alignment horizontal="right"/>
    </xf>
    <xf numFmtId="165" fontId="0" fillId="2" borderId="0" xfId="0" applyNumberFormat="1" applyFill="1"/>
    <xf numFmtId="4" fontId="0" fillId="2" borderId="0" xfId="0" applyNumberFormat="1" applyFill="1" applyAlignment="1">
      <alignment horizontal="center"/>
    </xf>
    <xf numFmtId="0" fontId="0" fillId="2" borderId="0" xfId="0" applyFill="1" applyAlignment="1">
      <alignment horizontal="center"/>
    </xf>
    <xf numFmtId="166" fontId="0" fillId="2" borderId="0" xfId="0" applyNumberFormat="1" applyFill="1" applyAlignment="1">
      <alignment horizontal="right"/>
    </xf>
    <xf numFmtId="1" fontId="3" fillId="3" borderId="5" xfId="0" applyNumberFormat="1" applyFont="1" applyFill="1" applyBorder="1" applyAlignment="1">
      <alignment horizontal="center"/>
    </xf>
    <xf numFmtId="166" fontId="3" fillId="3" borderId="0" xfId="0" applyNumberFormat="1" applyFont="1" applyFill="1"/>
    <xf numFmtId="165" fontId="0" fillId="2" borderId="0" xfId="0" applyNumberFormat="1" applyFill="1" applyAlignment="1">
      <alignment horizontal="right"/>
    </xf>
    <xf numFmtId="1" fontId="3" fillId="3" borderId="0" xfId="0" applyNumberFormat="1" applyFont="1" applyFill="1" applyAlignment="1">
      <alignment horizontal="center"/>
    </xf>
    <xf numFmtId="2" fontId="3" fillId="3" borderId="0" xfId="0" applyNumberFormat="1" applyFont="1" applyFill="1" applyAlignment="1">
      <alignment horizontal="center"/>
    </xf>
    <xf numFmtId="0" fontId="3" fillId="3" borderId="5" xfId="0" applyFont="1" applyFill="1" applyBorder="1" applyAlignment="1">
      <alignment horizontal="center"/>
    </xf>
    <xf numFmtId="165" fontId="3" fillId="3" borderId="0" xfId="0" applyNumberFormat="1" applyFont="1" applyFill="1" applyAlignment="1">
      <alignment horizontal="right"/>
    </xf>
    <xf numFmtId="169" fontId="0" fillId="2" borderId="0" xfId="0" applyNumberFormat="1" applyFill="1" applyAlignment="1">
      <alignment horizontal="right"/>
    </xf>
    <xf numFmtId="171" fontId="3" fillId="3" borderId="0" xfId="0" applyNumberFormat="1" applyFont="1" applyFill="1"/>
    <xf numFmtId="166" fontId="3" fillId="3" borderId="5" xfId="0" applyNumberFormat="1" applyFont="1" applyFill="1" applyBorder="1"/>
    <xf numFmtId="166" fontId="3" fillId="3" borderId="5" xfId="0" applyNumberFormat="1" applyFont="1" applyFill="1" applyBorder="1" applyAlignment="1">
      <alignment horizontal="right"/>
    </xf>
    <xf numFmtId="166" fontId="3" fillId="3" borderId="0" xfId="0" applyNumberFormat="1" applyFont="1" applyFill="1" applyAlignment="1">
      <alignment horizontal="right"/>
    </xf>
    <xf numFmtId="3" fontId="3" fillId="3" borderId="0" xfId="0" applyNumberFormat="1" applyFont="1" applyFill="1" applyAlignment="1">
      <alignment horizontal="right"/>
    </xf>
    <xf numFmtId="0" fontId="3" fillId="3" borderId="0" xfId="0" applyFont="1" applyFill="1" applyAlignment="1">
      <alignment horizontal="right"/>
    </xf>
    <xf numFmtId="0" fontId="3" fillId="3" borderId="5" xfId="0" applyFont="1" applyFill="1" applyBorder="1"/>
    <xf numFmtId="165" fontId="0" fillId="0" borderId="0" xfId="0" applyNumberFormat="1"/>
    <xf numFmtId="4" fontId="0" fillId="5" borderId="0" xfId="0" applyNumberFormat="1" applyFill="1" applyAlignment="1">
      <alignment horizontal="center"/>
    </xf>
    <xf numFmtId="0" fontId="0" fillId="5" borderId="0" xfId="0" applyFill="1" applyAlignment="1">
      <alignment horizontal="center"/>
    </xf>
    <xf numFmtId="166" fontId="0" fillId="0" borderId="0" xfId="0" applyNumberFormat="1" applyAlignment="1">
      <alignment horizontal="right"/>
    </xf>
    <xf numFmtId="0" fontId="3" fillId="4" borderId="5" xfId="0" applyFont="1" applyFill="1" applyBorder="1" applyAlignment="1">
      <alignment horizontal="center"/>
    </xf>
    <xf numFmtId="3" fontId="3" fillId="3" borderId="0" xfId="0" applyNumberFormat="1" applyFont="1" applyFill="1"/>
    <xf numFmtId="168" fontId="0" fillId="5" borderId="0" xfId="0" applyNumberFormat="1" applyFill="1" applyAlignment="1">
      <alignment horizontal="right"/>
    </xf>
    <xf numFmtId="0" fontId="10" fillId="4" borderId="0" xfId="0" applyFont="1" applyFill="1" applyAlignment="1">
      <alignment horizontal="right"/>
    </xf>
    <xf numFmtId="168" fontId="0" fillId="2" borderId="0" xfId="0" applyNumberFormat="1" applyFill="1" applyAlignment="1">
      <alignment horizontal="right"/>
    </xf>
    <xf numFmtId="0" fontId="0" fillId="3" borderId="5" xfId="0" applyFill="1" applyBorder="1"/>
    <xf numFmtId="0" fontId="0" fillId="2" borderId="5" xfId="0" applyFill="1" applyBorder="1"/>
    <xf numFmtId="0" fontId="3" fillId="4" borderId="5" xfId="0" applyFont="1" applyFill="1" applyBorder="1" applyAlignment="1">
      <alignment horizontal="right"/>
    </xf>
    <xf numFmtId="0" fontId="0" fillId="0" borderId="8" xfId="0" applyBorder="1" applyAlignment="1">
      <alignment horizontal="right"/>
    </xf>
    <xf numFmtId="165" fontId="0" fillId="0" borderId="8" xfId="0" applyNumberFormat="1" applyBorder="1"/>
    <xf numFmtId="10" fontId="0" fillId="0" borderId="8" xfId="0" applyNumberFormat="1" applyBorder="1" applyAlignment="1">
      <alignment horizontal="right"/>
    </xf>
    <xf numFmtId="4" fontId="0" fillId="0" borderId="8" xfId="0" applyNumberFormat="1" applyBorder="1" applyAlignment="1">
      <alignment horizontal="center"/>
    </xf>
    <xf numFmtId="0" fontId="0" fillId="0" borderId="8" xfId="0" applyBorder="1" applyAlignment="1">
      <alignment horizontal="center"/>
    </xf>
    <xf numFmtId="0" fontId="3" fillId="0" borderId="8" xfId="0" applyFont="1" applyBorder="1" applyAlignment="1">
      <alignment horizontal="center"/>
    </xf>
    <xf numFmtId="1" fontId="3" fillId="0" borderId="8" xfId="0" applyNumberFormat="1" applyFont="1" applyBorder="1" applyAlignment="1">
      <alignment horizontal="center"/>
    </xf>
    <xf numFmtId="165" fontId="3" fillId="0" borderId="8" xfId="0" applyNumberFormat="1" applyFont="1" applyBorder="1" applyAlignment="1">
      <alignment horizontal="center"/>
    </xf>
    <xf numFmtId="166" fontId="0" fillId="0" borderId="8" xfId="0" applyNumberFormat="1" applyBorder="1"/>
    <xf numFmtId="0" fontId="3" fillId="0" borderId="44" xfId="0" applyFont="1" applyBorder="1"/>
    <xf numFmtId="166" fontId="3" fillId="0" borderId="8" xfId="0" applyNumberFormat="1" applyFont="1" applyBorder="1"/>
    <xf numFmtId="165" fontId="3" fillId="0" borderId="8" xfId="0" applyNumberFormat="1" applyFont="1" applyBorder="1" applyAlignment="1">
      <alignment horizontal="right"/>
    </xf>
    <xf numFmtId="169" fontId="3" fillId="0" borderId="44" xfId="0" applyNumberFormat="1" applyFont="1" applyBorder="1" applyAlignment="1">
      <alignment horizontal="right"/>
    </xf>
    <xf numFmtId="165" fontId="0" fillId="0" borderId="8" xfId="0" applyNumberFormat="1" applyBorder="1" applyAlignment="1">
      <alignment horizontal="right"/>
    </xf>
    <xf numFmtId="165" fontId="0" fillId="0" borderId="44" xfId="0" applyNumberFormat="1" applyBorder="1" applyAlignment="1">
      <alignment horizontal="right"/>
    </xf>
    <xf numFmtId="169" fontId="0" fillId="0" borderId="44" xfId="0" applyNumberFormat="1" applyBorder="1" applyAlignment="1">
      <alignment horizontal="right"/>
    </xf>
    <xf numFmtId="170" fontId="3" fillId="0" borderId="44" xfId="0" applyNumberFormat="1" applyFont="1" applyBorder="1" applyAlignment="1">
      <alignment horizontal="right"/>
    </xf>
    <xf numFmtId="3" fontId="3" fillId="0" borderId="44" xfId="0" applyNumberFormat="1" applyFont="1" applyBorder="1" applyAlignment="1">
      <alignment horizontal="right"/>
    </xf>
    <xf numFmtId="4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1" fontId="3" fillId="0" borderId="1" xfId="0" applyNumberFormat="1" applyFont="1" applyBorder="1" applyAlignment="1">
      <alignment horizontal="center"/>
    </xf>
    <xf numFmtId="165" fontId="3" fillId="0" borderId="1" xfId="0" applyNumberFormat="1" applyFont="1" applyBorder="1" applyAlignment="1">
      <alignment horizontal="right"/>
    </xf>
    <xf numFmtId="169" fontId="3" fillId="0" borderId="2" xfId="0" applyNumberFormat="1" applyFont="1" applyBorder="1" applyAlignment="1">
      <alignment horizontal="right"/>
    </xf>
    <xf numFmtId="165" fontId="0" fillId="0" borderId="2" xfId="0" applyNumberFormat="1" applyBorder="1" applyAlignment="1">
      <alignment horizontal="right"/>
    </xf>
    <xf numFmtId="170" fontId="3" fillId="0" borderId="2" xfId="0" applyNumberFormat="1" applyFont="1" applyBorder="1" applyAlignment="1">
      <alignment horizontal="right"/>
    </xf>
    <xf numFmtId="3" fontId="3" fillId="0" borderId="2" xfId="0" applyNumberFormat="1" applyFont="1" applyBorder="1" applyAlignment="1">
      <alignment horizontal="right"/>
    </xf>
    <xf numFmtId="166" fontId="11" fillId="0" borderId="1" xfId="0" applyNumberFormat="1" applyFont="1" applyBorder="1" applyAlignment="1">
      <alignment horizontal="right"/>
    </xf>
    <xf numFmtId="169" fontId="11" fillId="0" borderId="2" xfId="0" applyNumberFormat="1" applyFont="1" applyBorder="1" applyAlignment="1">
      <alignment horizontal="right"/>
    </xf>
    <xf numFmtId="166" fontId="11" fillId="0" borderId="2" xfId="0" applyNumberFormat="1" applyFont="1" applyBorder="1" applyAlignment="1">
      <alignment horizontal="right"/>
    </xf>
    <xf numFmtId="169" fontId="12" fillId="0" borderId="2" xfId="0" applyNumberFormat="1" applyFont="1" applyBorder="1" applyAlignment="1">
      <alignment horizontal="right"/>
    </xf>
    <xf numFmtId="170" fontId="11" fillId="0" borderId="2" xfId="0" applyNumberFormat="1" applyFont="1" applyBorder="1" applyAlignment="1">
      <alignment horizontal="right"/>
    </xf>
    <xf numFmtId="3" fontId="11" fillId="0" borderId="2" xfId="0" applyNumberFormat="1" applyFont="1" applyBorder="1" applyAlignment="1">
      <alignment horizontal="right"/>
    </xf>
    <xf numFmtId="0" fontId="0" fillId="0" borderId="15" xfId="0" applyBorder="1" applyAlignment="1">
      <alignment horizontal="right"/>
    </xf>
    <xf numFmtId="165" fontId="0" fillId="0" borderId="15" xfId="0" applyNumberFormat="1" applyBorder="1"/>
    <xf numFmtId="10" fontId="0" fillId="0" borderId="15" xfId="0" applyNumberFormat="1" applyBorder="1" applyAlignment="1">
      <alignment horizontal="right"/>
    </xf>
    <xf numFmtId="4" fontId="0" fillId="0" borderId="15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0" fontId="3" fillId="0" borderId="15" xfId="0" applyFont="1" applyBorder="1" applyAlignment="1">
      <alignment horizontal="center"/>
    </xf>
    <xf numFmtId="1" fontId="3" fillId="0" borderId="15" xfId="0" applyNumberFormat="1" applyFont="1" applyBorder="1" applyAlignment="1">
      <alignment horizontal="center"/>
    </xf>
    <xf numFmtId="165" fontId="3" fillId="0" borderId="15" xfId="0" applyNumberFormat="1" applyFont="1" applyBorder="1" applyAlignment="1">
      <alignment horizontal="center"/>
    </xf>
    <xf numFmtId="166" fontId="0" fillId="0" borderId="15" xfId="0" applyNumberFormat="1" applyBorder="1"/>
    <xf numFmtId="0" fontId="3" fillId="0" borderId="16" xfId="0" applyFont="1" applyBorder="1"/>
    <xf numFmtId="165" fontId="3" fillId="0" borderId="15" xfId="0" applyNumberFormat="1" applyFont="1" applyBorder="1" applyAlignment="1">
      <alignment horizontal="right"/>
    </xf>
    <xf numFmtId="165" fontId="3" fillId="0" borderId="16" xfId="0" applyNumberFormat="1" applyFont="1" applyBorder="1" applyAlignment="1">
      <alignment horizontal="right"/>
    </xf>
    <xf numFmtId="165" fontId="0" fillId="0" borderId="16" xfId="0" applyNumberFormat="1" applyBorder="1" applyAlignment="1">
      <alignment horizontal="right"/>
    </xf>
    <xf numFmtId="170" fontId="3" fillId="0" borderId="16" xfId="0" applyNumberFormat="1" applyFont="1" applyBorder="1" applyAlignment="1">
      <alignment horizontal="right"/>
    </xf>
    <xf numFmtId="3" fontId="3" fillId="0" borderId="16" xfId="0" applyNumberFormat="1" applyFont="1" applyBorder="1" applyAlignment="1">
      <alignment horizontal="right"/>
    </xf>
    <xf numFmtId="0" fontId="2" fillId="0" borderId="1" xfId="0" applyFont="1" applyBorder="1"/>
    <xf numFmtId="49" fontId="0" fillId="0" borderId="1" xfId="0" applyNumberFormat="1" applyBorder="1" applyAlignment="1">
      <alignment horizontal="left"/>
    </xf>
    <xf numFmtId="49" fontId="0" fillId="0" borderId="8" xfId="0" applyNumberFormat="1" applyBorder="1" applyAlignment="1">
      <alignment horizontal="left"/>
    </xf>
    <xf numFmtId="40" fontId="0" fillId="0" borderId="12" xfId="0" applyNumberFormat="1" applyBorder="1"/>
    <xf numFmtId="40" fontId="0" fillId="0" borderId="8" xfId="0" applyNumberFormat="1" applyBorder="1"/>
    <xf numFmtId="0" fontId="0" fillId="0" borderId="8" xfId="0" applyBorder="1"/>
    <xf numFmtId="49" fontId="0" fillId="0" borderId="8" xfId="0" applyNumberFormat="1" applyBorder="1" applyAlignment="1">
      <alignment horizontal="center"/>
    </xf>
    <xf numFmtId="40" fontId="8" fillId="0" borderId="13" xfId="0" applyNumberFormat="1" applyFont="1" applyBorder="1"/>
    <xf numFmtId="40" fontId="6" fillId="0" borderId="13" xfId="0" applyNumberFormat="1" applyFont="1" applyBorder="1"/>
    <xf numFmtId="40" fontId="0" fillId="0" borderId="14" xfId="0" applyNumberFormat="1" applyBorder="1"/>
    <xf numFmtId="49" fontId="0" fillId="0" borderId="15" xfId="0" applyNumberFormat="1" applyBorder="1" applyAlignment="1">
      <alignment horizontal="left"/>
    </xf>
    <xf numFmtId="40" fontId="0" fillId="0" borderId="15" xfId="0" applyNumberFormat="1" applyBorder="1"/>
    <xf numFmtId="0" fontId="0" fillId="0" borderId="15" xfId="0" applyBorder="1"/>
    <xf numFmtId="49" fontId="0" fillId="0" borderId="15" xfId="0" applyNumberFormat="1" applyBorder="1" applyAlignment="1">
      <alignment horizontal="center"/>
    </xf>
    <xf numFmtId="10" fontId="0" fillId="2" borderId="6" xfId="0" applyNumberFormat="1" applyFill="1" applyBorder="1"/>
    <xf numFmtId="173" fontId="4" fillId="4" borderId="1" xfId="0" applyNumberFormat="1" applyFont="1" applyFill="1" applyBorder="1" applyAlignment="1">
      <alignment horizontal="right"/>
    </xf>
    <xf numFmtId="10" fontId="4" fillId="4" borderId="1" xfId="0" applyNumberFormat="1" applyFont="1" applyFill="1" applyBorder="1" applyAlignment="1">
      <alignment horizontal="right"/>
    </xf>
    <xf numFmtId="9" fontId="6" fillId="2" borderId="1" xfId="0" applyNumberFormat="1" applyFont="1" applyFill="1" applyBorder="1" applyAlignment="1">
      <alignment horizontal="right"/>
    </xf>
    <xf numFmtId="10" fontId="6" fillId="2" borderId="1" xfId="0" applyNumberFormat="1" applyFont="1" applyFill="1" applyBorder="1" applyAlignment="1">
      <alignment horizontal="right"/>
    </xf>
    <xf numFmtId="10" fontId="0" fillId="2" borderId="0" xfId="0" applyNumberFormat="1" applyFill="1" applyAlignment="1">
      <alignment horizontal="right"/>
    </xf>
    <xf numFmtId="10" fontId="0" fillId="5" borderId="0" xfId="0" applyNumberFormat="1" applyFill="1" applyAlignment="1">
      <alignment horizontal="right"/>
    </xf>
    <xf numFmtId="173" fontId="0" fillId="2" borderId="5" xfId="0" applyNumberFormat="1" applyFill="1" applyBorder="1"/>
    <xf numFmtId="173" fontId="0" fillId="0" borderId="5" xfId="0" applyNumberFormat="1" applyBorder="1"/>
    <xf numFmtId="174" fontId="3" fillId="3" borderId="0" xfId="0" applyNumberFormat="1" applyFont="1" applyFill="1"/>
    <xf numFmtId="174" fontId="3" fillId="4" borderId="0" xfId="0" applyNumberFormat="1" applyFont="1" applyFill="1"/>
    <xf numFmtId="173" fontId="0" fillId="4" borderId="5" xfId="0" applyNumberFormat="1" applyFill="1" applyBorder="1" applyAlignment="1">
      <alignment horizontal="right"/>
    </xf>
    <xf numFmtId="10" fontId="0" fillId="4" borderId="0" xfId="0" applyNumberFormat="1" applyFill="1" applyAlignment="1">
      <alignment horizontal="right"/>
    </xf>
    <xf numFmtId="10" fontId="0" fillId="2" borderId="5" xfId="0" applyNumberFormat="1" applyFill="1" applyBorder="1"/>
    <xf numFmtId="172" fontId="3" fillId="4" borderId="5" xfId="0" applyNumberFormat="1" applyFont="1" applyFill="1" applyBorder="1" applyAlignment="1">
      <alignment horizontal="right"/>
    </xf>
    <xf numFmtId="165" fontId="3" fillId="0" borderId="3" xfId="0" applyNumberFormat="1" applyFont="1" applyBorder="1" applyAlignment="1">
      <alignment horizontal="center" vertical="center" wrapText="1"/>
    </xf>
    <xf numFmtId="165" fontId="3" fillId="0" borderId="4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wrapText="1"/>
    </xf>
    <xf numFmtId="0" fontId="3" fillId="0" borderId="3" xfId="0" applyFont="1" applyBorder="1" applyAlignment="1">
      <alignment horizontal="center" vertical="center" wrapText="1"/>
    </xf>
    <xf numFmtId="166" fontId="0" fillId="2" borderId="1" xfId="0" applyNumberFormat="1" applyFill="1" applyBorder="1" applyAlignment="1">
      <alignment horizontal="right"/>
    </xf>
    <xf numFmtId="164" fontId="4" fillId="0" borderId="1" xfId="0" applyNumberFormat="1" applyFont="1" applyBorder="1" applyAlignment="1">
      <alignment horizontal="center"/>
    </xf>
    <xf numFmtId="0" fontId="0" fillId="4" borderId="1" xfId="0" applyFill="1" applyBorder="1" applyAlignment="1">
      <alignment horizontal="right"/>
    </xf>
    <xf numFmtId="166" fontId="0" fillId="2" borderId="1" xfId="0" applyNumberFormat="1" applyFill="1" applyBorder="1"/>
    <xf numFmtId="166" fontId="0" fillId="4" borderId="1" xfId="0" applyNumberFormat="1" applyFill="1" applyBorder="1" applyAlignment="1">
      <alignment horizontal="right"/>
    </xf>
    <xf numFmtId="2" fontId="0" fillId="2" borderId="1" xfId="0" applyNumberFormat="1" applyFill="1" applyBorder="1"/>
    <xf numFmtId="166" fontId="6" fillId="4" borderId="8" xfId="0" applyNumberFormat="1" applyFont="1" applyFill="1" applyBorder="1" applyAlignment="1">
      <alignment horizontal="right"/>
    </xf>
    <xf numFmtId="14" fontId="0" fillId="2" borderId="1" xfId="0" applyNumberFormat="1" applyFill="1" applyBorder="1" applyAlignment="1">
      <alignment horizontal="right"/>
    </xf>
    <xf numFmtId="166" fontId="6" fillId="2" borderId="1" xfId="0" applyNumberFormat="1" applyFont="1" applyFill="1" applyBorder="1" applyAlignment="1">
      <alignment horizontal="right"/>
    </xf>
    <xf numFmtId="166" fontId="6" fillId="4" borderId="1" xfId="0" applyNumberFormat="1" applyFont="1" applyFill="1" applyBorder="1" applyAlignment="1">
      <alignment horizontal="right"/>
    </xf>
    <xf numFmtId="0" fontId="6" fillId="4" borderId="1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right"/>
    </xf>
    <xf numFmtId="165" fontId="3" fillId="0" borderId="15" xfId="0" applyNumberFormat="1" applyFont="1" applyBorder="1" applyAlignment="1">
      <alignment horizontal="right" vertical="center" textRotation="90" wrapText="1"/>
    </xf>
    <xf numFmtId="0" fontId="7" fillId="0" borderId="20" xfId="0" applyFont="1" applyBorder="1" applyAlignment="1">
      <alignment horizontal="center" wrapText="1"/>
    </xf>
    <xf numFmtId="165" fontId="7" fillId="0" borderId="28" xfId="0" applyNumberFormat="1" applyFont="1" applyBorder="1" applyAlignment="1">
      <alignment horizontal="center" vertical="center" wrapText="1"/>
    </xf>
    <xf numFmtId="169" fontId="7" fillId="0" borderId="28" xfId="0" applyNumberFormat="1" applyFont="1" applyBorder="1" applyAlignment="1">
      <alignment horizontal="center" vertical="center" wrapText="1"/>
    </xf>
    <xf numFmtId="166" fontId="7" fillId="0" borderId="21" xfId="0" applyNumberFormat="1" applyFont="1" applyBorder="1" applyAlignment="1">
      <alignment horizontal="center" vertical="center" wrapText="1"/>
    </xf>
    <xf numFmtId="166" fontId="7" fillId="0" borderId="28" xfId="0" applyNumberFormat="1" applyFont="1" applyBorder="1" applyAlignment="1">
      <alignment horizontal="center" vertical="center" wrapText="1"/>
    </xf>
    <xf numFmtId="4" fontId="8" fillId="0" borderId="30" xfId="0" applyNumberFormat="1" applyFont="1" applyBorder="1" applyAlignment="1">
      <alignment horizontal="center" vertical="center" textRotation="90" wrapText="1"/>
    </xf>
    <xf numFmtId="0" fontId="2" fillId="0" borderId="30" xfId="0" applyFont="1" applyBorder="1" applyAlignment="1">
      <alignment horizontal="center" vertical="center" textRotation="90" wrapText="1"/>
    </xf>
    <xf numFmtId="0" fontId="2" fillId="0" borderId="31" xfId="0" applyFont="1" applyBorder="1" applyAlignment="1">
      <alignment horizontal="center" vertical="center" textRotation="90" wrapText="1"/>
    </xf>
    <xf numFmtId="0" fontId="7" fillId="0" borderId="32" xfId="0" applyFont="1" applyBorder="1" applyAlignment="1">
      <alignment horizontal="center" vertical="center" textRotation="90"/>
    </xf>
    <xf numFmtId="0" fontId="7" fillId="0" borderId="33" xfId="0" applyFont="1" applyBorder="1" applyAlignment="1">
      <alignment horizontal="center" vertical="center" textRotation="90" wrapText="1"/>
    </xf>
    <xf numFmtId="0" fontId="7" fillId="0" borderId="34" xfId="0" applyFont="1" applyBorder="1" applyAlignment="1">
      <alignment horizontal="center" vertical="center" wrapText="1"/>
    </xf>
    <xf numFmtId="0" fontId="7" fillId="0" borderId="35" xfId="0" applyFont="1" applyBorder="1" applyAlignment="1">
      <alignment horizontal="center" vertical="center" wrapText="1"/>
    </xf>
    <xf numFmtId="165" fontId="7" fillId="0" borderId="36" xfId="0" applyNumberFormat="1" applyFont="1" applyBorder="1" applyAlignment="1">
      <alignment horizontal="center" vertical="center" wrapText="1"/>
    </xf>
    <xf numFmtId="165" fontId="7" fillId="0" borderId="37" xfId="0" applyNumberFormat="1" applyFont="1" applyBorder="1" applyAlignment="1">
      <alignment horizontal="center" vertical="center"/>
    </xf>
    <xf numFmtId="165" fontId="2" fillId="0" borderId="38" xfId="0" applyNumberFormat="1" applyFont="1" applyBorder="1" applyAlignment="1">
      <alignment horizontal="center" vertical="center" wrapText="1"/>
    </xf>
    <xf numFmtId="165" fontId="7" fillId="0" borderId="34" xfId="0" applyNumberFormat="1" applyFont="1" applyBorder="1" applyAlignment="1">
      <alignment horizontal="center" vertical="center" wrapText="1"/>
    </xf>
    <xf numFmtId="166" fontId="7" fillId="0" borderId="34" xfId="0" applyNumberFormat="1" applyFont="1" applyBorder="1" applyAlignment="1">
      <alignment horizontal="center" vertical="center" wrapText="1"/>
    </xf>
    <xf numFmtId="169" fontId="2" fillId="0" borderId="39" xfId="0" applyNumberFormat="1" applyFont="1" applyBorder="1" applyAlignment="1">
      <alignment horizontal="center" vertical="center" wrapText="1"/>
    </xf>
    <xf numFmtId="165" fontId="7" fillId="0" borderId="40" xfId="0" applyNumberFormat="1" applyFont="1" applyBorder="1" applyAlignment="1">
      <alignment horizontal="center" vertical="center" wrapText="1"/>
    </xf>
    <xf numFmtId="169" fontId="7" fillId="0" borderId="41" xfId="0" applyNumberFormat="1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40" fontId="6" fillId="0" borderId="13" xfId="0" applyNumberFormat="1" applyFont="1" applyBorder="1"/>
  </cellXfs>
  <cellStyles count="2">
    <cellStyle name="Forklarende tekst" xfId="1" builtinId="53" customBuiltin="1"/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420E"/>
      <rgbColor rgb="FF00FF00"/>
      <rgbColor rgb="FF0000FF"/>
      <rgbColor rgb="FFE6FF00"/>
      <rgbColor rgb="FFFF00FF"/>
      <rgbColor rgb="FF00FFFF"/>
      <rgbColor rgb="FF800000"/>
      <rgbColor rgb="FF008000"/>
      <rgbColor rgb="FF000066"/>
      <rgbColor rgb="FF808000"/>
      <rgbColor rgb="FF800080"/>
      <rgbColor rgb="FF008080"/>
      <rgbColor rgb="FFCCCCCC"/>
      <rgbColor rgb="FF808080"/>
      <rgbColor rgb="FF9999FF"/>
      <rgbColor rgb="FF993366"/>
      <rgbColor rgb="FFFFFFCC"/>
      <rgbColor rgb="FFE6E6E6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3CAFF"/>
      <rgbColor rgb="FFFF99CC"/>
      <rgbColor rgb="FFCC99FF"/>
      <rgbColor rgb="FFFFCC99"/>
      <rgbColor rgb="FF3366FF"/>
      <rgbColor rgb="FF33CCCC"/>
      <rgbColor rgb="FFAECF00"/>
      <rgbColor rgb="FFFFD320"/>
      <rgbColor rgb="FFFF950E"/>
      <rgbColor rgb="FFFF6633"/>
      <rgbColor rgb="FF666699"/>
      <rgbColor rgb="FFB3B3B3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c:style val="2"/>
  <c:chart>
    <c:autoTitleDeleted val="1"/>
    <c:view3D>
      <c:rotX val="5"/>
      <c:rotY val="5"/>
      <c:rAngAx val="1"/>
    </c:view3D>
    <c:floor>
      <c:thickness val="0"/>
      <c:spPr>
        <a:solidFill>
          <a:srgbClr val="CCCCCC"/>
        </a:solidFill>
        <a:ln>
          <a:noFill/>
        </a:ln>
      </c:spPr>
    </c:floor>
    <c:sideWall>
      <c:thickness val="0"/>
      <c:spPr>
        <a:noFill/>
        <a:ln>
          <a:solidFill>
            <a:srgbClr val="B3B3B3"/>
          </a:solidFill>
        </a:ln>
      </c:spPr>
    </c:sideWall>
    <c:backWall>
      <c:thickness val="0"/>
      <c:spPr>
        <a:noFill/>
        <a:ln>
          <a:solidFill>
            <a:srgbClr val="B3B3B3"/>
          </a:solidFill>
        </a:ln>
      </c:spPr>
    </c:backWall>
    <c:plotArea>
      <c:layout>
        <c:manualLayout>
          <c:layoutTarget val="inner"/>
          <c:xMode val="edge"/>
          <c:yMode val="edge"/>
          <c:x val="8.5308657624540499E-2"/>
          <c:y val="0.116347210352826"/>
          <c:w val="0.86430472810242098"/>
          <c:h val="0.74642900744719798"/>
        </c:manualLayout>
      </c:layout>
      <c:area3DChart>
        <c:grouping val="standard"/>
        <c:varyColors val="1"/>
        <c:ser>
          <c:idx val="0"/>
          <c:order val="0"/>
          <c:tx>
            <c:strRef>
              <c:f>'Statisk plan'!$G$1</c:f>
              <c:strCache>
                <c:ptCount val="1"/>
                <c:pt idx="0">
                  <c:v>Renter</c:v>
                </c:pt>
              </c:strCache>
            </c:strRef>
          </c:tx>
          <c:spPr>
            <a:solidFill>
              <a:srgbClr val="FFD320"/>
            </a:solidFill>
            <a:ln>
              <a:solidFill>
                <a:srgbClr val="000000"/>
              </a:solidFill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'Statisk plan'!$F$3:$F$362</c:f>
              <c:numCache>
                <c:formatCode>General</c:formatCode>
                <c:ptCount val="36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</c:numCache>
            </c:numRef>
          </c:cat>
          <c:val>
            <c:numRef>
              <c:f>'Statisk plan'!$G$3:$G$362</c:f>
              <c:numCache>
                <c:formatCode>[$kr-414]\ #,##0;\-[$kr-414]\ #,##0</c:formatCode>
                <c:ptCount val="360"/>
                <c:pt idx="0">
                  <c:v>11917.875</c:v>
                </c:pt>
                <c:pt idx="1">
                  <c:v>11873.386057692307</c:v>
                </c:pt>
                <c:pt idx="2">
                  <c:v>11828.897115384616</c:v>
                </c:pt>
                <c:pt idx="3">
                  <c:v>11784.408173076923</c:v>
                </c:pt>
                <c:pt idx="4">
                  <c:v>11739.91923076923</c:v>
                </c:pt>
                <c:pt idx="5">
                  <c:v>11695.430288461537</c:v>
                </c:pt>
                <c:pt idx="6">
                  <c:v>11650.941346153846</c:v>
                </c:pt>
                <c:pt idx="7">
                  <c:v>11606.452403846153</c:v>
                </c:pt>
                <c:pt idx="8">
                  <c:v>11561.96346153846</c:v>
                </c:pt>
                <c:pt idx="9">
                  <c:v>11517.474519230769</c:v>
                </c:pt>
                <c:pt idx="10">
                  <c:v>11472.985576923076</c:v>
                </c:pt>
                <c:pt idx="11">
                  <c:v>11428.496634615385</c:v>
                </c:pt>
                <c:pt idx="12">
                  <c:v>11384.007692307694</c:v>
                </c:pt>
                <c:pt idx="13">
                  <c:v>11339.518750000001</c:v>
                </c:pt>
                <c:pt idx="14">
                  <c:v>11295.029807692308</c:v>
                </c:pt>
                <c:pt idx="15">
                  <c:v>11250.540865384615</c:v>
                </c:pt>
                <c:pt idx="16">
                  <c:v>11206.051923076924</c:v>
                </c:pt>
                <c:pt idx="17">
                  <c:v>11161.562980769231</c:v>
                </c:pt>
                <c:pt idx="18">
                  <c:v>11117.074038461538</c:v>
                </c:pt>
                <c:pt idx="19">
                  <c:v>11072.585096153847</c:v>
                </c:pt>
                <c:pt idx="20">
                  <c:v>11028.096153846154</c:v>
                </c:pt>
                <c:pt idx="21">
                  <c:v>10983.607211538461</c:v>
                </c:pt>
                <c:pt idx="22">
                  <c:v>10939.118269230768</c:v>
                </c:pt>
                <c:pt idx="23">
                  <c:v>10894.629326923077</c:v>
                </c:pt>
                <c:pt idx="24">
                  <c:v>10850.140384615384</c:v>
                </c:pt>
                <c:pt idx="25">
                  <c:v>10805.651442307691</c:v>
                </c:pt>
                <c:pt idx="26">
                  <c:v>10761.1625</c:v>
                </c:pt>
                <c:pt idx="27">
                  <c:v>10716.673557692307</c:v>
                </c:pt>
                <c:pt idx="28">
                  <c:v>10672.184615384615</c:v>
                </c:pt>
                <c:pt idx="29">
                  <c:v>10627.695673076925</c:v>
                </c:pt>
                <c:pt idx="30">
                  <c:v>10583.206730769232</c:v>
                </c:pt>
                <c:pt idx="31">
                  <c:v>10538.717788461539</c:v>
                </c:pt>
                <c:pt idx="32">
                  <c:v>10494.228846153846</c:v>
                </c:pt>
                <c:pt idx="33">
                  <c:v>10449.739903846155</c:v>
                </c:pt>
                <c:pt idx="34">
                  <c:v>10405.250961538462</c:v>
                </c:pt>
                <c:pt idx="35">
                  <c:v>10360.76201923077</c:v>
                </c:pt>
                <c:pt idx="36">
                  <c:v>10316.273076923077</c:v>
                </c:pt>
                <c:pt idx="37">
                  <c:v>10271.784134615385</c:v>
                </c:pt>
                <c:pt idx="38">
                  <c:v>10227.295192307693</c:v>
                </c:pt>
                <c:pt idx="39">
                  <c:v>10182.80625</c:v>
                </c:pt>
                <c:pt idx="40">
                  <c:v>10138.317307692309</c:v>
                </c:pt>
                <c:pt idx="41">
                  <c:v>10093.828365384616</c:v>
                </c:pt>
                <c:pt idx="42">
                  <c:v>10049.339423076923</c:v>
                </c:pt>
                <c:pt idx="43">
                  <c:v>10004.85048076923</c:v>
                </c:pt>
                <c:pt idx="44">
                  <c:v>9960.3615384615387</c:v>
                </c:pt>
                <c:pt idx="45">
                  <c:v>9915.8725961538457</c:v>
                </c:pt>
                <c:pt idx="46">
                  <c:v>9871.3836538461528</c:v>
                </c:pt>
                <c:pt idx="47">
                  <c:v>9826.8947115384617</c:v>
                </c:pt>
                <c:pt idx="48">
                  <c:v>9782.4057692307688</c:v>
                </c:pt>
                <c:pt idx="49">
                  <c:v>9737.9168269230759</c:v>
                </c:pt>
                <c:pt idx="50">
                  <c:v>9693.4278846153829</c:v>
                </c:pt>
                <c:pt idx="51">
                  <c:v>9648.9389423076937</c:v>
                </c:pt>
                <c:pt idx="52">
                  <c:v>9604.4500000000007</c:v>
                </c:pt>
                <c:pt idx="53">
                  <c:v>9559.9610576923078</c:v>
                </c:pt>
                <c:pt idx="54">
                  <c:v>9515.4721153846167</c:v>
                </c:pt>
                <c:pt idx="55">
                  <c:v>9470.9831730769238</c:v>
                </c:pt>
                <c:pt idx="56">
                  <c:v>9426.4942307692309</c:v>
                </c:pt>
                <c:pt idx="57">
                  <c:v>9382.0052884615379</c:v>
                </c:pt>
                <c:pt idx="58">
                  <c:v>9337.5163461538468</c:v>
                </c:pt>
                <c:pt idx="59">
                  <c:v>9293.0274038461539</c:v>
                </c:pt>
                <c:pt idx="60">
                  <c:v>9248.538461538461</c:v>
                </c:pt>
                <c:pt idx="61">
                  <c:v>9204.0495192307699</c:v>
                </c:pt>
                <c:pt idx="62">
                  <c:v>9159.560576923077</c:v>
                </c:pt>
                <c:pt idx="63">
                  <c:v>9115.071634615384</c:v>
                </c:pt>
                <c:pt idx="64">
                  <c:v>9070.5826923076911</c:v>
                </c:pt>
                <c:pt idx="65">
                  <c:v>9026.09375</c:v>
                </c:pt>
                <c:pt idx="66">
                  <c:v>8981.6048076923071</c:v>
                </c:pt>
                <c:pt idx="67">
                  <c:v>8937.115865384616</c:v>
                </c:pt>
                <c:pt idx="68">
                  <c:v>8892.626923076923</c:v>
                </c:pt>
                <c:pt idx="69">
                  <c:v>8848.1379807692301</c:v>
                </c:pt>
                <c:pt idx="70">
                  <c:v>8803.649038461539</c:v>
                </c:pt>
                <c:pt idx="71">
                  <c:v>8759.1600961538461</c:v>
                </c:pt>
                <c:pt idx="72">
                  <c:v>8714.671153846155</c:v>
                </c:pt>
                <c:pt idx="73">
                  <c:v>8670.1822115384621</c:v>
                </c:pt>
                <c:pt idx="74">
                  <c:v>8625.6932692307691</c:v>
                </c:pt>
                <c:pt idx="75">
                  <c:v>8581.204326923078</c:v>
                </c:pt>
                <c:pt idx="76">
                  <c:v>8536.7153846153851</c:v>
                </c:pt>
                <c:pt idx="77">
                  <c:v>8492.2264423076922</c:v>
                </c:pt>
                <c:pt idx="78">
                  <c:v>8447.7374999999993</c:v>
                </c:pt>
                <c:pt idx="79">
                  <c:v>8403.2485576923082</c:v>
                </c:pt>
                <c:pt idx="80">
                  <c:v>8358.7596153846152</c:v>
                </c:pt>
                <c:pt idx="81">
                  <c:v>8314.2706730769223</c:v>
                </c:pt>
                <c:pt idx="82">
                  <c:v>8269.7817307692312</c:v>
                </c:pt>
                <c:pt idx="83">
                  <c:v>8225.2927884615383</c:v>
                </c:pt>
                <c:pt idx="84">
                  <c:v>8180.8038461538454</c:v>
                </c:pt>
                <c:pt idx="85">
                  <c:v>8136.3149038461534</c:v>
                </c:pt>
                <c:pt idx="86">
                  <c:v>8091.8259615384604</c:v>
                </c:pt>
                <c:pt idx="87">
                  <c:v>8047.3370192307693</c:v>
                </c:pt>
                <c:pt idx="88">
                  <c:v>8002.8480769230773</c:v>
                </c:pt>
                <c:pt idx="89">
                  <c:v>7958.3591346153844</c:v>
                </c:pt>
                <c:pt idx="90">
                  <c:v>7913.8701923076924</c:v>
                </c:pt>
                <c:pt idx="91">
                  <c:v>7869.3812499999995</c:v>
                </c:pt>
                <c:pt idx="92">
                  <c:v>7824.8923076923083</c:v>
                </c:pt>
                <c:pt idx="93">
                  <c:v>7780.4033653846163</c:v>
                </c:pt>
                <c:pt idx="94">
                  <c:v>7735.9144230769234</c:v>
                </c:pt>
                <c:pt idx="95">
                  <c:v>7691.4254807692314</c:v>
                </c:pt>
                <c:pt idx="96">
                  <c:v>7646.9365384615385</c:v>
                </c:pt>
                <c:pt idx="97">
                  <c:v>7602.4475961538465</c:v>
                </c:pt>
                <c:pt idx="98">
                  <c:v>7557.9586538461535</c:v>
                </c:pt>
                <c:pt idx="99">
                  <c:v>7513.4697115384615</c:v>
                </c:pt>
                <c:pt idx="100">
                  <c:v>7468.9807692307695</c:v>
                </c:pt>
                <c:pt idx="101">
                  <c:v>7424.4918269230766</c:v>
                </c:pt>
                <c:pt idx="102">
                  <c:v>7380.0028846153846</c:v>
                </c:pt>
                <c:pt idx="103">
                  <c:v>7335.5139423076917</c:v>
                </c:pt>
                <c:pt idx="104">
                  <c:v>7291.0249999999996</c:v>
                </c:pt>
                <c:pt idx="105">
                  <c:v>7246.5360576923067</c:v>
                </c:pt>
                <c:pt idx="106">
                  <c:v>7202.0471153846156</c:v>
                </c:pt>
                <c:pt idx="107">
                  <c:v>7157.5581730769236</c:v>
                </c:pt>
                <c:pt idx="108">
                  <c:v>7113.0692307692307</c:v>
                </c:pt>
                <c:pt idx="109">
                  <c:v>7068.5802884615387</c:v>
                </c:pt>
                <c:pt idx="110">
                  <c:v>7024.0913461538457</c:v>
                </c:pt>
                <c:pt idx="111">
                  <c:v>6979.6024038461537</c:v>
                </c:pt>
                <c:pt idx="112">
                  <c:v>6935.1134615384608</c:v>
                </c:pt>
                <c:pt idx="113">
                  <c:v>6890.6245192307688</c:v>
                </c:pt>
                <c:pt idx="114">
                  <c:v>6846.1355769230777</c:v>
                </c:pt>
                <c:pt idx="115">
                  <c:v>6801.6466346153848</c:v>
                </c:pt>
                <c:pt idx="116">
                  <c:v>6757.1576923076927</c:v>
                </c:pt>
                <c:pt idx="117">
                  <c:v>6712.6687499999998</c:v>
                </c:pt>
                <c:pt idx="118">
                  <c:v>6668.1798076923078</c:v>
                </c:pt>
                <c:pt idx="119">
                  <c:v>6623.6908653846149</c:v>
                </c:pt>
                <c:pt idx="120">
                  <c:v>6579.2019230769229</c:v>
                </c:pt>
                <c:pt idx="121">
                  <c:v>6534.7129807692309</c:v>
                </c:pt>
                <c:pt idx="122">
                  <c:v>6490.2240384615379</c:v>
                </c:pt>
                <c:pt idx="123">
                  <c:v>6445.7350961538459</c:v>
                </c:pt>
                <c:pt idx="124">
                  <c:v>6401.2461538461539</c:v>
                </c:pt>
                <c:pt idx="125">
                  <c:v>6356.7572115384619</c:v>
                </c:pt>
                <c:pt idx="126">
                  <c:v>6312.268269230769</c:v>
                </c:pt>
                <c:pt idx="127">
                  <c:v>6267.779326923077</c:v>
                </c:pt>
                <c:pt idx="128">
                  <c:v>6223.2903846153849</c:v>
                </c:pt>
                <c:pt idx="129">
                  <c:v>6178.801442307692</c:v>
                </c:pt>
                <c:pt idx="130">
                  <c:v>6134.3125</c:v>
                </c:pt>
                <c:pt idx="131">
                  <c:v>6089.8235576923071</c:v>
                </c:pt>
                <c:pt idx="132">
                  <c:v>6045.3346153846151</c:v>
                </c:pt>
                <c:pt idx="133">
                  <c:v>6000.845673076924</c:v>
                </c:pt>
                <c:pt idx="134">
                  <c:v>5956.356730769231</c:v>
                </c:pt>
                <c:pt idx="135">
                  <c:v>5911.867788461539</c:v>
                </c:pt>
                <c:pt idx="136">
                  <c:v>5867.3788461538461</c:v>
                </c:pt>
                <c:pt idx="137">
                  <c:v>5822.8899038461541</c:v>
                </c:pt>
                <c:pt idx="138">
                  <c:v>5778.4009615384612</c:v>
                </c:pt>
                <c:pt idx="139">
                  <c:v>5733.9120192307691</c:v>
                </c:pt>
                <c:pt idx="140">
                  <c:v>5689.4230769230762</c:v>
                </c:pt>
                <c:pt idx="141">
                  <c:v>5644.9341346153842</c:v>
                </c:pt>
                <c:pt idx="142">
                  <c:v>5600.4451923076922</c:v>
                </c:pt>
                <c:pt idx="143">
                  <c:v>5555.9562500000002</c:v>
                </c:pt>
                <c:pt idx="144">
                  <c:v>5511.4673076923082</c:v>
                </c:pt>
                <c:pt idx="145">
                  <c:v>5466.9783653846152</c:v>
                </c:pt>
                <c:pt idx="146">
                  <c:v>5422.4894230769232</c:v>
                </c:pt>
                <c:pt idx="147">
                  <c:v>5378.0004807692312</c:v>
                </c:pt>
                <c:pt idx="148">
                  <c:v>5333.5115384615383</c:v>
                </c:pt>
                <c:pt idx="149">
                  <c:v>5289.0225961538463</c:v>
                </c:pt>
                <c:pt idx="150">
                  <c:v>5244.5336538461534</c:v>
                </c:pt>
                <c:pt idx="151">
                  <c:v>5200.0447115384613</c:v>
                </c:pt>
                <c:pt idx="152">
                  <c:v>5155.5557692307684</c:v>
                </c:pt>
                <c:pt idx="153">
                  <c:v>5111.0668269230773</c:v>
                </c:pt>
                <c:pt idx="154">
                  <c:v>5066.5778846153853</c:v>
                </c:pt>
                <c:pt idx="155">
                  <c:v>5022.0889423076924</c:v>
                </c:pt>
                <c:pt idx="156">
                  <c:v>4977.6000000000004</c:v>
                </c:pt>
                <c:pt idx="157">
                  <c:v>4933.1110576923074</c:v>
                </c:pt>
                <c:pt idx="158">
                  <c:v>4888.6221153846154</c:v>
                </c:pt>
                <c:pt idx="159">
                  <c:v>4844.1331730769225</c:v>
                </c:pt>
                <c:pt idx="160">
                  <c:v>4799.6442307692305</c:v>
                </c:pt>
                <c:pt idx="161">
                  <c:v>4755.1552884615376</c:v>
                </c:pt>
                <c:pt idx="162">
                  <c:v>4710.6663461538456</c:v>
                </c:pt>
                <c:pt idx="163">
                  <c:v>4666.1774038461544</c:v>
                </c:pt>
                <c:pt idx="164">
                  <c:v>4621.6884615384615</c:v>
                </c:pt>
                <c:pt idx="165">
                  <c:v>4577.1995192307695</c:v>
                </c:pt>
                <c:pt idx="166">
                  <c:v>4532.7105769230766</c:v>
                </c:pt>
                <c:pt idx="167">
                  <c:v>4488.2216346153846</c:v>
                </c:pt>
                <c:pt idx="168">
                  <c:v>4443.7326923076926</c:v>
                </c:pt>
                <c:pt idx="169">
                  <c:v>4399.2437499999996</c:v>
                </c:pt>
                <c:pt idx="170">
                  <c:v>4354.7548076923076</c:v>
                </c:pt>
                <c:pt idx="171">
                  <c:v>4310.2658653846147</c:v>
                </c:pt>
                <c:pt idx="172">
                  <c:v>4265.7769230769227</c:v>
                </c:pt>
                <c:pt idx="173">
                  <c:v>4221.2879807692307</c:v>
                </c:pt>
                <c:pt idx="174">
                  <c:v>4176.7990384615387</c:v>
                </c:pt>
                <c:pt idx="175">
                  <c:v>4132.3100961538466</c:v>
                </c:pt>
                <c:pt idx="176">
                  <c:v>4087.8211538461537</c:v>
                </c:pt>
                <c:pt idx="177">
                  <c:v>4043.3322115384613</c:v>
                </c:pt>
                <c:pt idx="178">
                  <c:v>3998.8432692307692</c:v>
                </c:pt>
                <c:pt idx="179">
                  <c:v>3954.3543269230768</c:v>
                </c:pt>
                <c:pt idx="180">
                  <c:v>3909.8653846153843</c:v>
                </c:pt>
                <c:pt idx="181">
                  <c:v>3865.3764423076918</c:v>
                </c:pt>
                <c:pt idx="182">
                  <c:v>3820.8874999999994</c:v>
                </c:pt>
                <c:pt idx="183">
                  <c:v>3776.3985576923078</c:v>
                </c:pt>
                <c:pt idx="184">
                  <c:v>3731.9096153846158</c:v>
                </c:pt>
                <c:pt idx="185">
                  <c:v>3687.4206730769233</c:v>
                </c:pt>
                <c:pt idx="186">
                  <c:v>3642.9317307692309</c:v>
                </c:pt>
                <c:pt idx="187">
                  <c:v>3598.4427884615384</c:v>
                </c:pt>
                <c:pt idx="188">
                  <c:v>3553.9538461538459</c:v>
                </c:pt>
                <c:pt idx="189">
                  <c:v>3509.4649038461534</c:v>
                </c:pt>
                <c:pt idx="190">
                  <c:v>3464.975961538461</c:v>
                </c:pt>
                <c:pt idx="191">
                  <c:v>3420.4870192307685</c:v>
                </c:pt>
                <c:pt idx="192">
                  <c:v>3375.9980769230774</c:v>
                </c:pt>
                <c:pt idx="193">
                  <c:v>3331.5091346153849</c:v>
                </c:pt>
                <c:pt idx="194">
                  <c:v>3287.0201923076925</c:v>
                </c:pt>
                <c:pt idx="195">
                  <c:v>3242.53125</c:v>
                </c:pt>
                <c:pt idx="196">
                  <c:v>3198.0423076923075</c:v>
                </c:pt>
                <c:pt idx="197">
                  <c:v>3153.5533653846151</c:v>
                </c:pt>
                <c:pt idx="198">
                  <c:v>3109.0644230769226</c:v>
                </c:pt>
                <c:pt idx="199">
                  <c:v>3064.5754807692306</c:v>
                </c:pt>
                <c:pt idx="200">
                  <c:v>3020.0865384615381</c:v>
                </c:pt>
                <c:pt idx="201">
                  <c:v>2975.5975961538456</c:v>
                </c:pt>
                <c:pt idx="202">
                  <c:v>2931.1086538461541</c:v>
                </c:pt>
                <c:pt idx="203">
                  <c:v>2886.6197115384616</c:v>
                </c:pt>
                <c:pt idx="204">
                  <c:v>2842.1307692307691</c:v>
                </c:pt>
                <c:pt idx="205">
                  <c:v>2797.6418269230771</c:v>
                </c:pt>
                <c:pt idx="206">
                  <c:v>2753.1528846153847</c:v>
                </c:pt>
                <c:pt idx="207">
                  <c:v>2708.6639423076922</c:v>
                </c:pt>
                <c:pt idx="208">
                  <c:v>2664.1749999999997</c:v>
                </c:pt>
                <c:pt idx="209">
                  <c:v>2619.6860576923073</c:v>
                </c:pt>
                <c:pt idx="210">
                  <c:v>2575.1971153846148</c:v>
                </c:pt>
                <c:pt idx="211">
                  <c:v>2530.7081730769223</c:v>
                </c:pt>
                <c:pt idx="212">
                  <c:v>2486.2192307692312</c:v>
                </c:pt>
                <c:pt idx="213">
                  <c:v>2441.7302884615387</c:v>
                </c:pt>
                <c:pt idx="214">
                  <c:v>2397.2413461538463</c:v>
                </c:pt>
                <c:pt idx="215">
                  <c:v>2352.7524038461538</c:v>
                </c:pt>
                <c:pt idx="216">
                  <c:v>2308.2634615384613</c:v>
                </c:pt>
                <c:pt idx="217">
                  <c:v>2263.7745192307689</c:v>
                </c:pt>
                <c:pt idx="218">
                  <c:v>2219.2855769230764</c:v>
                </c:pt>
                <c:pt idx="219">
                  <c:v>2174.7966346153839</c:v>
                </c:pt>
                <c:pt idx="220">
                  <c:v>2130.3076923076919</c:v>
                </c:pt>
                <c:pt idx="221">
                  <c:v>2085.8187499999995</c:v>
                </c:pt>
                <c:pt idx="222">
                  <c:v>2041.329807692307</c:v>
                </c:pt>
                <c:pt idx="223">
                  <c:v>1996.8408653846145</c:v>
                </c:pt>
                <c:pt idx="224">
                  <c:v>1952.351923076922</c:v>
                </c:pt>
                <c:pt idx="225">
                  <c:v>1907.8629807692296</c:v>
                </c:pt>
                <c:pt idx="226">
                  <c:v>1863.3740384615373</c:v>
                </c:pt>
                <c:pt idx="227">
                  <c:v>1818.8850961538469</c:v>
                </c:pt>
                <c:pt idx="228">
                  <c:v>1774.3961538461544</c:v>
                </c:pt>
                <c:pt idx="229">
                  <c:v>1729.9072115384622</c:v>
                </c:pt>
                <c:pt idx="230">
                  <c:v>1685.4182692307697</c:v>
                </c:pt>
                <c:pt idx="231">
                  <c:v>1640.9293269230773</c:v>
                </c:pt>
                <c:pt idx="232">
                  <c:v>1596.4403846153848</c:v>
                </c:pt>
                <c:pt idx="233">
                  <c:v>1551.9514423076923</c:v>
                </c:pt>
                <c:pt idx="234">
                  <c:v>1507.4625000000001</c:v>
                </c:pt>
                <c:pt idx="235">
                  <c:v>1462.9735576923076</c:v>
                </c:pt>
                <c:pt idx="236">
                  <c:v>1418.4846153846152</c:v>
                </c:pt>
                <c:pt idx="237">
                  <c:v>1373.9956730769227</c:v>
                </c:pt>
                <c:pt idx="238">
                  <c:v>1329.5067307692304</c:v>
                </c:pt>
                <c:pt idx="239">
                  <c:v>1285.017788461538</c:v>
                </c:pt>
                <c:pt idx="240">
                  <c:v>1240.5288461538455</c:v>
                </c:pt>
                <c:pt idx="241">
                  <c:v>1196.039903846153</c:v>
                </c:pt>
                <c:pt idx="242">
                  <c:v>1151.5509615384606</c:v>
                </c:pt>
                <c:pt idx="243">
                  <c:v>1107.0620192307683</c:v>
                </c:pt>
                <c:pt idx="244">
                  <c:v>1062.5730769230759</c:v>
                </c:pt>
                <c:pt idx="245">
                  <c:v>1018.0841346153834</c:v>
                </c:pt>
                <c:pt idx="246">
                  <c:v>973.59519230769104</c:v>
                </c:pt>
                <c:pt idx="247">
                  <c:v>929.10625000000073</c:v>
                </c:pt>
                <c:pt idx="248">
                  <c:v>884.61730769230826</c:v>
                </c:pt>
                <c:pt idx="249">
                  <c:v>840.1283653846159</c:v>
                </c:pt>
                <c:pt idx="250">
                  <c:v>795.63942307692344</c:v>
                </c:pt>
                <c:pt idx="251">
                  <c:v>751.15048076923108</c:v>
                </c:pt>
                <c:pt idx="252">
                  <c:v>706.66153846153861</c:v>
                </c:pt>
                <c:pt idx="253">
                  <c:v>662.17259615384626</c:v>
                </c:pt>
                <c:pt idx="254">
                  <c:v>617.68365384615379</c:v>
                </c:pt>
                <c:pt idx="255">
                  <c:v>573.19471153846143</c:v>
                </c:pt>
                <c:pt idx="256">
                  <c:v>528.70576923076896</c:v>
                </c:pt>
                <c:pt idx="257">
                  <c:v>484.21682692307655</c:v>
                </c:pt>
                <c:pt idx="258">
                  <c:v>439.72788461538414</c:v>
                </c:pt>
                <c:pt idx="259">
                  <c:v>395.23894230769173</c:v>
                </c:pt>
                <c:pt idx="260">
                  <c:v>350.74999999999932</c:v>
                </c:pt>
                <c:pt idx="261">
                  <c:v>306.26105769230691</c:v>
                </c:pt>
                <c:pt idx="262">
                  <c:v>261.77211538461444</c:v>
                </c:pt>
                <c:pt idx="263">
                  <c:v>217.28317307692205</c:v>
                </c:pt>
                <c:pt idx="264">
                  <c:v>172.79423076922961</c:v>
                </c:pt>
                <c:pt idx="265">
                  <c:v>128.3052884615372</c:v>
                </c:pt>
                <c:pt idx="266">
                  <c:v>83.816346153846922</c:v>
                </c:pt>
                <c:pt idx="267">
                  <c:v>39.327403846154503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76-4771-A188-BDA1E6F4425D}"/>
            </c:ext>
          </c:extLst>
        </c:ser>
        <c:ser>
          <c:idx val="1"/>
          <c:order val="1"/>
          <c:tx>
            <c:strRef>
              <c:f>'Statisk plan'!$H$1</c:f>
              <c:strCache>
                <c:ptCount val="1"/>
                <c:pt idx="0">
                  <c:v>Renter u/tnb</c:v>
                </c:pt>
              </c:strCache>
            </c:strRef>
          </c:tx>
          <c:spPr>
            <a:solidFill>
              <a:srgbClr val="FF420E"/>
            </a:solidFill>
            <a:ln>
              <a:solidFill>
                <a:srgbClr val="000000"/>
              </a:solidFill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'Statisk plan'!$F$3:$F$362</c:f>
              <c:numCache>
                <c:formatCode>General</c:formatCode>
                <c:ptCount val="36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</c:numCache>
            </c:numRef>
          </c:cat>
          <c:val>
            <c:numRef>
              <c:f>'Statisk plan'!$H$3:$H$362</c:f>
              <c:numCache>
                <c:formatCode>[$kr-414]\ #,##0;\-[$kr-414]\ #,##0</c:formatCode>
                <c:ptCount val="360"/>
                <c:pt idx="0">
                  <c:v>11917.875</c:v>
                </c:pt>
                <c:pt idx="1">
                  <c:v>11879.676682692309</c:v>
                </c:pt>
                <c:pt idx="2">
                  <c:v>11841.478365384615</c:v>
                </c:pt>
                <c:pt idx="3">
                  <c:v>11803.280048076924</c:v>
                </c:pt>
                <c:pt idx="4">
                  <c:v>11765.08173076923</c:v>
                </c:pt>
                <c:pt idx="5">
                  <c:v>11726.883413461537</c:v>
                </c:pt>
                <c:pt idx="6">
                  <c:v>11688.685096153846</c:v>
                </c:pt>
                <c:pt idx="7">
                  <c:v>11650.486778846152</c:v>
                </c:pt>
                <c:pt idx="8">
                  <c:v>11612.288461538461</c:v>
                </c:pt>
                <c:pt idx="9">
                  <c:v>11574.090144230768</c:v>
                </c:pt>
                <c:pt idx="10">
                  <c:v>11535.891826923076</c:v>
                </c:pt>
                <c:pt idx="11">
                  <c:v>11497.693509615387</c:v>
                </c:pt>
                <c:pt idx="12">
                  <c:v>11459.495192307693</c:v>
                </c:pt>
                <c:pt idx="13">
                  <c:v>11421.296875</c:v>
                </c:pt>
                <c:pt idx="14">
                  <c:v>11383.098557692309</c:v>
                </c:pt>
                <c:pt idx="15">
                  <c:v>11344.900240384615</c:v>
                </c:pt>
                <c:pt idx="16">
                  <c:v>11306.701923076924</c:v>
                </c:pt>
                <c:pt idx="17">
                  <c:v>11268.50360576923</c:v>
                </c:pt>
                <c:pt idx="18">
                  <c:v>11230.305288461539</c:v>
                </c:pt>
                <c:pt idx="19">
                  <c:v>11192.106971153846</c:v>
                </c:pt>
                <c:pt idx="20">
                  <c:v>11153.908653846154</c:v>
                </c:pt>
                <c:pt idx="21">
                  <c:v>11115.710336538461</c:v>
                </c:pt>
                <c:pt idx="22">
                  <c:v>11077.51201923077</c:v>
                </c:pt>
                <c:pt idx="23">
                  <c:v>11039.313701923076</c:v>
                </c:pt>
                <c:pt idx="24">
                  <c:v>11001.115384615385</c:v>
                </c:pt>
                <c:pt idx="25">
                  <c:v>10962.917067307691</c:v>
                </c:pt>
                <c:pt idx="26">
                  <c:v>10924.71875</c:v>
                </c:pt>
                <c:pt idx="27">
                  <c:v>10886.520432692307</c:v>
                </c:pt>
                <c:pt idx="28">
                  <c:v>10848.322115384615</c:v>
                </c:pt>
                <c:pt idx="29">
                  <c:v>10810.123798076924</c:v>
                </c:pt>
                <c:pt idx="30">
                  <c:v>10771.925480769232</c:v>
                </c:pt>
                <c:pt idx="31">
                  <c:v>10733.727163461539</c:v>
                </c:pt>
                <c:pt idx="32">
                  <c:v>10695.528846153848</c:v>
                </c:pt>
                <c:pt idx="33">
                  <c:v>10657.330528846154</c:v>
                </c:pt>
                <c:pt idx="34">
                  <c:v>10619.132211538463</c:v>
                </c:pt>
                <c:pt idx="35">
                  <c:v>10580.93389423077</c:v>
                </c:pt>
                <c:pt idx="36">
                  <c:v>10542.735576923078</c:v>
                </c:pt>
                <c:pt idx="37">
                  <c:v>10504.537259615385</c:v>
                </c:pt>
                <c:pt idx="38">
                  <c:v>10466.338942307693</c:v>
                </c:pt>
                <c:pt idx="39">
                  <c:v>10428.140625</c:v>
                </c:pt>
                <c:pt idx="40">
                  <c:v>10389.942307692309</c:v>
                </c:pt>
                <c:pt idx="41">
                  <c:v>10351.743990384615</c:v>
                </c:pt>
                <c:pt idx="42">
                  <c:v>10313.545673076924</c:v>
                </c:pt>
                <c:pt idx="43">
                  <c:v>10275.34735576923</c:v>
                </c:pt>
                <c:pt idx="44">
                  <c:v>10237.149038461537</c:v>
                </c:pt>
                <c:pt idx="45">
                  <c:v>10198.950721153846</c:v>
                </c:pt>
                <c:pt idx="46">
                  <c:v>10160.752403846152</c:v>
                </c:pt>
                <c:pt idx="47">
                  <c:v>10122.554086538461</c:v>
                </c:pt>
                <c:pt idx="48">
                  <c:v>10084.355769230768</c:v>
                </c:pt>
                <c:pt idx="49">
                  <c:v>10046.157451923076</c:v>
                </c:pt>
                <c:pt idx="50">
                  <c:v>10007.959134615383</c:v>
                </c:pt>
                <c:pt idx="51">
                  <c:v>9969.7608173076933</c:v>
                </c:pt>
                <c:pt idx="52">
                  <c:v>9931.5625</c:v>
                </c:pt>
                <c:pt idx="53">
                  <c:v>9893.3641826923085</c:v>
                </c:pt>
                <c:pt idx="54">
                  <c:v>9855.1658653846152</c:v>
                </c:pt>
                <c:pt idx="55">
                  <c:v>9816.9675480769238</c:v>
                </c:pt>
                <c:pt idx="56">
                  <c:v>9778.7692307692305</c:v>
                </c:pt>
                <c:pt idx="57">
                  <c:v>9740.570913461539</c:v>
                </c:pt>
                <c:pt idx="58">
                  <c:v>9702.3725961538457</c:v>
                </c:pt>
                <c:pt idx="59">
                  <c:v>9664.1742788461543</c:v>
                </c:pt>
                <c:pt idx="60">
                  <c:v>9625.975961538461</c:v>
                </c:pt>
                <c:pt idx="61">
                  <c:v>9587.7776442307695</c:v>
                </c:pt>
                <c:pt idx="62">
                  <c:v>9549.5793269230762</c:v>
                </c:pt>
                <c:pt idx="63">
                  <c:v>9511.3810096153848</c:v>
                </c:pt>
                <c:pt idx="64">
                  <c:v>9473.1826923076915</c:v>
                </c:pt>
                <c:pt idx="65">
                  <c:v>9434.984375</c:v>
                </c:pt>
                <c:pt idx="66">
                  <c:v>9396.7860576923067</c:v>
                </c:pt>
                <c:pt idx="67">
                  <c:v>9358.5877403846152</c:v>
                </c:pt>
                <c:pt idx="68">
                  <c:v>9320.3894230769238</c:v>
                </c:pt>
                <c:pt idx="69">
                  <c:v>9282.1911057692305</c:v>
                </c:pt>
                <c:pt idx="70">
                  <c:v>9243.992788461539</c:v>
                </c:pt>
                <c:pt idx="71">
                  <c:v>9205.7944711538457</c:v>
                </c:pt>
                <c:pt idx="72">
                  <c:v>9167.5961538461543</c:v>
                </c:pt>
                <c:pt idx="73">
                  <c:v>9129.3978365384628</c:v>
                </c:pt>
                <c:pt idx="74">
                  <c:v>9091.1995192307695</c:v>
                </c:pt>
                <c:pt idx="75">
                  <c:v>9053.001201923078</c:v>
                </c:pt>
                <c:pt idx="76">
                  <c:v>9014.8028846153848</c:v>
                </c:pt>
                <c:pt idx="77">
                  <c:v>8976.6045673076933</c:v>
                </c:pt>
                <c:pt idx="78">
                  <c:v>8938.40625</c:v>
                </c:pt>
                <c:pt idx="79">
                  <c:v>8900.2079326923085</c:v>
                </c:pt>
                <c:pt idx="80">
                  <c:v>8862.0096153846152</c:v>
                </c:pt>
                <c:pt idx="81">
                  <c:v>8823.8112980769238</c:v>
                </c:pt>
                <c:pt idx="82">
                  <c:v>8785.6129807692305</c:v>
                </c:pt>
                <c:pt idx="83">
                  <c:v>8747.4146634615372</c:v>
                </c:pt>
                <c:pt idx="84">
                  <c:v>8709.2163461538457</c:v>
                </c:pt>
                <c:pt idx="85">
                  <c:v>8671.0180288461524</c:v>
                </c:pt>
                <c:pt idx="86">
                  <c:v>8632.819711538461</c:v>
                </c:pt>
                <c:pt idx="87">
                  <c:v>8594.6213942307695</c:v>
                </c:pt>
                <c:pt idx="88">
                  <c:v>8556.4230769230762</c:v>
                </c:pt>
                <c:pt idx="89">
                  <c:v>8518.2247596153848</c:v>
                </c:pt>
                <c:pt idx="90">
                  <c:v>8480.0264423076915</c:v>
                </c:pt>
                <c:pt idx="91">
                  <c:v>8441.828125</c:v>
                </c:pt>
                <c:pt idx="92">
                  <c:v>8403.6298076923085</c:v>
                </c:pt>
                <c:pt idx="93">
                  <c:v>8365.4314903846152</c:v>
                </c:pt>
                <c:pt idx="94">
                  <c:v>8327.2331730769238</c:v>
                </c:pt>
                <c:pt idx="95">
                  <c:v>8289.0348557692305</c:v>
                </c:pt>
                <c:pt idx="96">
                  <c:v>8250.836538461539</c:v>
                </c:pt>
                <c:pt idx="97">
                  <c:v>8212.6382211538457</c:v>
                </c:pt>
                <c:pt idx="98">
                  <c:v>8174.4399038461543</c:v>
                </c:pt>
                <c:pt idx="99">
                  <c:v>8136.2415865384619</c:v>
                </c:pt>
                <c:pt idx="100">
                  <c:v>8098.0432692307695</c:v>
                </c:pt>
                <c:pt idx="101">
                  <c:v>8059.8449519230762</c:v>
                </c:pt>
                <c:pt idx="102">
                  <c:v>8021.6466346153838</c:v>
                </c:pt>
                <c:pt idx="103">
                  <c:v>7983.4483173076915</c:v>
                </c:pt>
                <c:pt idx="104">
                  <c:v>7945.2499999999991</c:v>
                </c:pt>
                <c:pt idx="105">
                  <c:v>7907.0516826923067</c:v>
                </c:pt>
                <c:pt idx="106">
                  <c:v>7868.8533653846152</c:v>
                </c:pt>
                <c:pt idx="107">
                  <c:v>7830.6550480769229</c:v>
                </c:pt>
                <c:pt idx="108">
                  <c:v>7792.4567307692305</c:v>
                </c:pt>
                <c:pt idx="109">
                  <c:v>7754.2584134615381</c:v>
                </c:pt>
                <c:pt idx="110">
                  <c:v>7716.0600961538457</c:v>
                </c:pt>
                <c:pt idx="111">
                  <c:v>7677.8617788461543</c:v>
                </c:pt>
                <c:pt idx="112">
                  <c:v>7639.6634615384619</c:v>
                </c:pt>
                <c:pt idx="113">
                  <c:v>7601.4651442307695</c:v>
                </c:pt>
                <c:pt idx="114">
                  <c:v>7563.2668269230771</c:v>
                </c:pt>
                <c:pt idx="115">
                  <c:v>7525.0685096153848</c:v>
                </c:pt>
                <c:pt idx="116">
                  <c:v>7486.8701923076924</c:v>
                </c:pt>
                <c:pt idx="117">
                  <c:v>7448.671875</c:v>
                </c:pt>
                <c:pt idx="118">
                  <c:v>7410.4735576923076</c:v>
                </c:pt>
                <c:pt idx="119">
                  <c:v>7372.2752403846152</c:v>
                </c:pt>
                <c:pt idx="120">
                  <c:v>7334.0769230769229</c:v>
                </c:pt>
                <c:pt idx="121">
                  <c:v>7295.8786057692305</c:v>
                </c:pt>
                <c:pt idx="122">
                  <c:v>7257.6802884615381</c:v>
                </c:pt>
                <c:pt idx="123">
                  <c:v>7219.4819711538457</c:v>
                </c:pt>
                <c:pt idx="124">
                  <c:v>7181.2836538461534</c:v>
                </c:pt>
                <c:pt idx="125">
                  <c:v>7143.085336538461</c:v>
                </c:pt>
                <c:pt idx="126">
                  <c:v>7104.8870192307695</c:v>
                </c:pt>
                <c:pt idx="127">
                  <c:v>7066.6887019230771</c:v>
                </c:pt>
                <c:pt idx="128">
                  <c:v>7028.4903846153848</c:v>
                </c:pt>
                <c:pt idx="129">
                  <c:v>6990.2920673076924</c:v>
                </c:pt>
                <c:pt idx="130">
                  <c:v>6952.09375</c:v>
                </c:pt>
                <c:pt idx="131">
                  <c:v>6913.8954326923076</c:v>
                </c:pt>
                <c:pt idx="132">
                  <c:v>6875.6971153846152</c:v>
                </c:pt>
                <c:pt idx="133">
                  <c:v>6837.4987980769238</c:v>
                </c:pt>
                <c:pt idx="134">
                  <c:v>6799.3004807692314</c:v>
                </c:pt>
                <c:pt idx="135">
                  <c:v>6761.102163461539</c:v>
                </c:pt>
                <c:pt idx="136">
                  <c:v>6722.9038461538466</c:v>
                </c:pt>
                <c:pt idx="137">
                  <c:v>6684.7055288461543</c:v>
                </c:pt>
                <c:pt idx="138">
                  <c:v>6646.5072115384619</c:v>
                </c:pt>
                <c:pt idx="139">
                  <c:v>6608.3088942307695</c:v>
                </c:pt>
                <c:pt idx="140">
                  <c:v>6570.1105769230762</c:v>
                </c:pt>
                <c:pt idx="141">
                  <c:v>6531.9122596153838</c:v>
                </c:pt>
                <c:pt idx="142">
                  <c:v>6493.7139423076915</c:v>
                </c:pt>
                <c:pt idx="143">
                  <c:v>6455.5156250000009</c:v>
                </c:pt>
                <c:pt idx="144">
                  <c:v>6417.3173076923076</c:v>
                </c:pt>
                <c:pt idx="145">
                  <c:v>6379.1189903846152</c:v>
                </c:pt>
                <c:pt idx="146">
                  <c:v>6340.9206730769229</c:v>
                </c:pt>
                <c:pt idx="147">
                  <c:v>6302.7223557692305</c:v>
                </c:pt>
                <c:pt idx="148">
                  <c:v>6264.5240384615381</c:v>
                </c:pt>
                <c:pt idx="149">
                  <c:v>6226.3257211538457</c:v>
                </c:pt>
                <c:pt idx="150">
                  <c:v>6188.1274038461534</c:v>
                </c:pt>
                <c:pt idx="151">
                  <c:v>6149.929086538461</c:v>
                </c:pt>
                <c:pt idx="152">
                  <c:v>6111.7307692307686</c:v>
                </c:pt>
                <c:pt idx="153">
                  <c:v>6073.5324519230771</c:v>
                </c:pt>
                <c:pt idx="154">
                  <c:v>6035.3341346153848</c:v>
                </c:pt>
                <c:pt idx="155">
                  <c:v>5997.1358173076924</c:v>
                </c:pt>
                <c:pt idx="156">
                  <c:v>5958.9375</c:v>
                </c:pt>
                <c:pt idx="157">
                  <c:v>5920.7391826923076</c:v>
                </c:pt>
                <c:pt idx="158">
                  <c:v>5882.5408653846152</c:v>
                </c:pt>
                <c:pt idx="159">
                  <c:v>5844.3425480769229</c:v>
                </c:pt>
                <c:pt idx="160">
                  <c:v>5806.1442307692305</c:v>
                </c:pt>
                <c:pt idx="161">
                  <c:v>5767.9459134615381</c:v>
                </c:pt>
                <c:pt idx="162">
                  <c:v>5729.7475961538457</c:v>
                </c:pt>
                <c:pt idx="163">
                  <c:v>5691.5492788461543</c:v>
                </c:pt>
                <c:pt idx="164">
                  <c:v>5653.3509615384619</c:v>
                </c:pt>
                <c:pt idx="165">
                  <c:v>5615.1526442307695</c:v>
                </c:pt>
                <c:pt idx="166">
                  <c:v>5576.9543269230771</c:v>
                </c:pt>
                <c:pt idx="167">
                  <c:v>5538.7560096153848</c:v>
                </c:pt>
                <c:pt idx="168">
                  <c:v>5500.5576923076924</c:v>
                </c:pt>
                <c:pt idx="169">
                  <c:v>5462.359375</c:v>
                </c:pt>
                <c:pt idx="170">
                  <c:v>5424.1610576923076</c:v>
                </c:pt>
                <c:pt idx="171">
                  <c:v>5385.9627403846152</c:v>
                </c:pt>
                <c:pt idx="172">
                  <c:v>5347.7644230769229</c:v>
                </c:pt>
                <c:pt idx="173">
                  <c:v>5309.5661057692314</c:v>
                </c:pt>
                <c:pt idx="174">
                  <c:v>5271.367788461539</c:v>
                </c:pt>
                <c:pt idx="175">
                  <c:v>5233.1694711538466</c:v>
                </c:pt>
                <c:pt idx="176">
                  <c:v>5194.9711538461543</c:v>
                </c:pt>
                <c:pt idx="177">
                  <c:v>5156.7728365384619</c:v>
                </c:pt>
                <c:pt idx="178">
                  <c:v>5118.5745192307686</c:v>
                </c:pt>
                <c:pt idx="179">
                  <c:v>5080.3762019230762</c:v>
                </c:pt>
                <c:pt idx="180">
                  <c:v>5042.1778846153838</c:v>
                </c:pt>
                <c:pt idx="181">
                  <c:v>5003.9795673076915</c:v>
                </c:pt>
                <c:pt idx="182">
                  <c:v>4965.7812499999991</c:v>
                </c:pt>
                <c:pt idx="183">
                  <c:v>4927.5829326923076</c:v>
                </c:pt>
                <c:pt idx="184">
                  <c:v>4889.3846153846152</c:v>
                </c:pt>
                <c:pt idx="185">
                  <c:v>4851.1862980769229</c:v>
                </c:pt>
                <c:pt idx="186">
                  <c:v>4812.9879807692305</c:v>
                </c:pt>
                <c:pt idx="187">
                  <c:v>4774.7896634615381</c:v>
                </c:pt>
                <c:pt idx="188">
                  <c:v>4736.5913461538457</c:v>
                </c:pt>
                <c:pt idx="189">
                  <c:v>4698.3930288461534</c:v>
                </c:pt>
                <c:pt idx="190">
                  <c:v>4660.194711538461</c:v>
                </c:pt>
                <c:pt idx="191">
                  <c:v>4621.9963942307686</c:v>
                </c:pt>
                <c:pt idx="192">
                  <c:v>4583.7980769230771</c:v>
                </c:pt>
                <c:pt idx="193">
                  <c:v>4545.5997596153848</c:v>
                </c:pt>
                <c:pt idx="194">
                  <c:v>4507.4014423076924</c:v>
                </c:pt>
                <c:pt idx="195">
                  <c:v>4469.203125</c:v>
                </c:pt>
                <c:pt idx="196">
                  <c:v>4431.0048076923076</c:v>
                </c:pt>
                <c:pt idx="197">
                  <c:v>4392.8064903846152</c:v>
                </c:pt>
                <c:pt idx="198">
                  <c:v>4354.6081730769229</c:v>
                </c:pt>
                <c:pt idx="199">
                  <c:v>4316.4098557692305</c:v>
                </c:pt>
                <c:pt idx="200">
                  <c:v>4278.2115384615381</c:v>
                </c:pt>
                <c:pt idx="201">
                  <c:v>4240.0132211538457</c:v>
                </c:pt>
                <c:pt idx="202">
                  <c:v>4201.8149038461543</c:v>
                </c:pt>
                <c:pt idx="203">
                  <c:v>4163.6165865384619</c:v>
                </c:pt>
                <c:pt idx="204">
                  <c:v>4125.4182692307695</c:v>
                </c:pt>
                <c:pt idx="205">
                  <c:v>4087.2199519230771</c:v>
                </c:pt>
                <c:pt idx="206">
                  <c:v>4049.0216346153848</c:v>
                </c:pt>
                <c:pt idx="207">
                  <c:v>4010.8233173076919</c:v>
                </c:pt>
                <c:pt idx="208">
                  <c:v>3972.6249999999995</c:v>
                </c:pt>
                <c:pt idx="209">
                  <c:v>3934.4266826923072</c:v>
                </c:pt>
                <c:pt idx="210">
                  <c:v>3896.2283653846148</c:v>
                </c:pt>
                <c:pt idx="211">
                  <c:v>3858.0300480769224</c:v>
                </c:pt>
                <c:pt idx="212">
                  <c:v>3819.8317307692309</c:v>
                </c:pt>
                <c:pt idx="213">
                  <c:v>3781.6334134615386</c:v>
                </c:pt>
                <c:pt idx="214">
                  <c:v>3743.4350961538462</c:v>
                </c:pt>
                <c:pt idx="215">
                  <c:v>3705.2367788461538</c:v>
                </c:pt>
                <c:pt idx="216">
                  <c:v>3667.0384615384614</c:v>
                </c:pt>
                <c:pt idx="217">
                  <c:v>3628.8401442307691</c:v>
                </c:pt>
                <c:pt idx="218">
                  <c:v>3590.6418269230767</c:v>
                </c:pt>
                <c:pt idx="219">
                  <c:v>3552.4435096153843</c:v>
                </c:pt>
                <c:pt idx="220">
                  <c:v>3514.2451923076919</c:v>
                </c:pt>
                <c:pt idx="221">
                  <c:v>3476.0468749999995</c:v>
                </c:pt>
                <c:pt idx="222">
                  <c:v>3437.8485576923081</c:v>
                </c:pt>
                <c:pt idx="223">
                  <c:v>3399.6502403846157</c:v>
                </c:pt>
                <c:pt idx="224">
                  <c:v>3361.4519230769233</c:v>
                </c:pt>
                <c:pt idx="225">
                  <c:v>3323.2536057692309</c:v>
                </c:pt>
                <c:pt idx="226">
                  <c:v>3285.0552884615381</c:v>
                </c:pt>
                <c:pt idx="227">
                  <c:v>3246.8569711538457</c:v>
                </c:pt>
                <c:pt idx="228">
                  <c:v>3208.6586538461534</c:v>
                </c:pt>
                <c:pt idx="229">
                  <c:v>3170.460336538461</c:v>
                </c:pt>
                <c:pt idx="230">
                  <c:v>3132.2620192307686</c:v>
                </c:pt>
                <c:pt idx="231">
                  <c:v>3094.0637019230762</c:v>
                </c:pt>
                <c:pt idx="232">
                  <c:v>3055.8653846153848</c:v>
                </c:pt>
                <c:pt idx="233">
                  <c:v>3017.6670673076924</c:v>
                </c:pt>
                <c:pt idx="234">
                  <c:v>2979.46875</c:v>
                </c:pt>
                <c:pt idx="235">
                  <c:v>2941.2704326923076</c:v>
                </c:pt>
                <c:pt idx="236">
                  <c:v>2903.0721153846152</c:v>
                </c:pt>
                <c:pt idx="237">
                  <c:v>2864.8737980769229</c:v>
                </c:pt>
                <c:pt idx="238">
                  <c:v>2826.6754807692305</c:v>
                </c:pt>
                <c:pt idx="239">
                  <c:v>2788.4771634615381</c:v>
                </c:pt>
                <c:pt idx="240">
                  <c:v>2750.2788461538457</c:v>
                </c:pt>
                <c:pt idx="241">
                  <c:v>2712.0805288461529</c:v>
                </c:pt>
                <c:pt idx="242">
                  <c:v>2673.8822115384619</c:v>
                </c:pt>
                <c:pt idx="243">
                  <c:v>2635.6838942307695</c:v>
                </c:pt>
                <c:pt idx="244">
                  <c:v>2597.4855769230771</c:v>
                </c:pt>
                <c:pt idx="245">
                  <c:v>2559.2872596153843</c:v>
                </c:pt>
                <c:pt idx="246">
                  <c:v>2521.0889423076919</c:v>
                </c:pt>
                <c:pt idx="247">
                  <c:v>2482.8906249999995</c:v>
                </c:pt>
                <c:pt idx="248">
                  <c:v>2444.6923076923072</c:v>
                </c:pt>
                <c:pt idx="249">
                  <c:v>2406.4939903846148</c:v>
                </c:pt>
                <c:pt idx="250">
                  <c:v>2368.2956730769224</c:v>
                </c:pt>
                <c:pt idx="251">
                  <c:v>2330.09735576923</c:v>
                </c:pt>
                <c:pt idx="252">
                  <c:v>2291.8990384615386</c:v>
                </c:pt>
                <c:pt idx="253">
                  <c:v>2253.7007211538462</c:v>
                </c:pt>
                <c:pt idx="254">
                  <c:v>2215.5024038461538</c:v>
                </c:pt>
                <c:pt idx="255">
                  <c:v>2177.3040865384614</c:v>
                </c:pt>
                <c:pt idx="256">
                  <c:v>2139.1057692307691</c:v>
                </c:pt>
                <c:pt idx="257">
                  <c:v>2100.9074519230767</c:v>
                </c:pt>
                <c:pt idx="258">
                  <c:v>2062.7091346153843</c:v>
                </c:pt>
                <c:pt idx="259">
                  <c:v>2024.5108173076917</c:v>
                </c:pt>
                <c:pt idx="260">
                  <c:v>1986.3124999999993</c:v>
                </c:pt>
                <c:pt idx="261">
                  <c:v>1948.1141826923069</c:v>
                </c:pt>
                <c:pt idx="262">
                  <c:v>1909.9158653846146</c:v>
                </c:pt>
                <c:pt idx="263">
                  <c:v>1871.717548076922</c:v>
                </c:pt>
                <c:pt idx="264">
                  <c:v>1833.5192307692296</c:v>
                </c:pt>
                <c:pt idx="265">
                  <c:v>1795.3209134615372</c:v>
                </c:pt>
                <c:pt idx="266">
                  <c:v>1757.1225961538469</c:v>
                </c:pt>
                <c:pt idx="267">
                  <c:v>1718.9242788461545</c:v>
                </c:pt>
                <c:pt idx="268">
                  <c:v>1680.7259615384621</c:v>
                </c:pt>
                <c:pt idx="269">
                  <c:v>1642.5276442307697</c:v>
                </c:pt>
                <c:pt idx="270">
                  <c:v>1604.3293269230774</c:v>
                </c:pt>
                <c:pt idx="271">
                  <c:v>1566.1310096153848</c:v>
                </c:pt>
                <c:pt idx="272">
                  <c:v>1527.9326923076924</c:v>
                </c:pt>
                <c:pt idx="273">
                  <c:v>1489.734375</c:v>
                </c:pt>
                <c:pt idx="274">
                  <c:v>1451.5360576923076</c:v>
                </c:pt>
                <c:pt idx="275">
                  <c:v>1413.3377403846152</c:v>
                </c:pt>
                <c:pt idx="276">
                  <c:v>1375.1394230769229</c:v>
                </c:pt>
                <c:pt idx="277">
                  <c:v>1336.9411057692303</c:v>
                </c:pt>
                <c:pt idx="278">
                  <c:v>1298.7427884615379</c:v>
                </c:pt>
                <c:pt idx="279">
                  <c:v>1260.5444711538455</c:v>
                </c:pt>
                <c:pt idx="280">
                  <c:v>1222.3461538461531</c:v>
                </c:pt>
                <c:pt idx="281">
                  <c:v>1184.1478365384608</c:v>
                </c:pt>
                <c:pt idx="282">
                  <c:v>1145.9495192307684</c:v>
                </c:pt>
                <c:pt idx="283">
                  <c:v>1107.7512019230758</c:v>
                </c:pt>
                <c:pt idx="284">
                  <c:v>1069.5528846153834</c:v>
                </c:pt>
                <c:pt idx="285">
                  <c:v>1031.354567307691</c:v>
                </c:pt>
                <c:pt idx="286">
                  <c:v>993.15625000000068</c:v>
                </c:pt>
                <c:pt idx="287">
                  <c:v>954.9579326923083</c:v>
                </c:pt>
                <c:pt idx="288">
                  <c:v>916.75961538461593</c:v>
                </c:pt>
                <c:pt idx="289">
                  <c:v>878.56129807692344</c:v>
                </c:pt>
                <c:pt idx="290">
                  <c:v>840.36298076923106</c:v>
                </c:pt>
                <c:pt idx="291">
                  <c:v>802.16466346153868</c:v>
                </c:pt>
                <c:pt idx="292">
                  <c:v>763.96634615384619</c:v>
                </c:pt>
                <c:pt idx="293">
                  <c:v>725.76802884615381</c:v>
                </c:pt>
                <c:pt idx="294">
                  <c:v>687.56971153846143</c:v>
                </c:pt>
                <c:pt idx="295">
                  <c:v>649.37139423076894</c:v>
                </c:pt>
                <c:pt idx="296">
                  <c:v>611.17307692307656</c:v>
                </c:pt>
                <c:pt idx="297">
                  <c:v>572.97475961538419</c:v>
                </c:pt>
                <c:pt idx="298">
                  <c:v>534.7764423076917</c:v>
                </c:pt>
                <c:pt idx="299">
                  <c:v>496.57812499999932</c:v>
                </c:pt>
                <c:pt idx="300">
                  <c:v>458.37980769230688</c:v>
                </c:pt>
                <c:pt idx="301">
                  <c:v>420.18149038461445</c:v>
                </c:pt>
                <c:pt idx="302">
                  <c:v>381.98317307692207</c:v>
                </c:pt>
                <c:pt idx="303">
                  <c:v>343.78485576922964</c:v>
                </c:pt>
                <c:pt idx="304">
                  <c:v>305.5865384615372</c:v>
                </c:pt>
                <c:pt idx="305">
                  <c:v>267.38822115384477</c:v>
                </c:pt>
                <c:pt idx="306">
                  <c:v>229.18990384615449</c:v>
                </c:pt>
                <c:pt idx="307">
                  <c:v>190.99158653846209</c:v>
                </c:pt>
                <c:pt idx="308">
                  <c:v>152.79326923076968</c:v>
                </c:pt>
                <c:pt idx="309">
                  <c:v>114.59495192307725</c:v>
                </c:pt>
                <c:pt idx="310">
                  <c:v>76.396634615384841</c:v>
                </c:pt>
                <c:pt idx="311">
                  <c:v>38.19831730769242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A76-4771-A188-BDA1E6F442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1018580"/>
        <c:axId val="21146161"/>
        <c:axId val="0"/>
      </c:area3DChart>
      <c:catAx>
        <c:axId val="9101858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800" b="0" strike="noStrike" spc="-1">
                <a:latin typeface="Arial"/>
              </a:defRPr>
            </a:pPr>
            <a:endParaRPr lang="nb-NO"/>
          </a:p>
        </c:txPr>
        <c:crossAx val="21146161"/>
        <c:crosses val="autoZero"/>
        <c:auto val="1"/>
        <c:lblAlgn val="ctr"/>
        <c:lblOffset val="100"/>
        <c:noMultiLvlLbl val="1"/>
      </c:catAx>
      <c:valAx>
        <c:axId val="21146161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[$kr-414]\ #,##0;\-[$kr-414]\ #,##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800" b="0" strike="noStrike" spc="-1">
                <a:latin typeface="Arial"/>
              </a:defRPr>
            </a:pPr>
            <a:endParaRPr lang="nb-NO"/>
          </a:p>
        </c:txPr>
        <c:crossAx val="91018580"/>
        <c:crosses val="min"/>
        <c:crossBetween val="midCat"/>
      </c:valAx>
    </c:plotArea>
    <c:legend>
      <c:legendPos val="t"/>
      <c:overlay val="0"/>
      <c:spPr>
        <a:noFill/>
        <a:ln>
          <a:noFill/>
        </a:ln>
      </c:spPr>
      <c:txPr>
        <a:bodyPr/>
        <a:lstStyle/>
        <a:p>
          <a:pPr>
            <a:defRPr sz="655" b="0" strike="noStrike" spc="-1">
              <a:latin typeface="Arial"/>
            </a:defRPr>
          </a:pPr>
          <a:endParaRPr lang="nb-NO"/>
        </a:p>
      </c:txPr>
    </c:legend>
    <c:plotVisOnly val="0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c:style val="2"/>
  <c:chart>
    <c:autoTitleDeleted val="1"/>
    <c:view3D>
      <c:rotX val="5"/>
      <c:rotY val="5"/>
      <c:rAngAx val="1"/>
    </c:view3D>
    <c:floor>
      <c:thickness val="0"/>
      <c:spPr>
        <a:solidFill>
          <a:srgbClr val="CCCCCC"/>
        </a:solidFill>
        <a:ln>
          <a:noFill/>
        </a:ln>
      </c:spPr>
    </c:floor>
    <c:sideWall>
      <c:thickness val="0"/>
      <c:spPr>
        <a:noFill/>
        <a:ln>
          <a:solidFill>
            <a:srgbClr val="B3B3B3"/>
          </a:solidFill>
        </a:ln>
      </c:spPr>
    </c:sideWall>
    <c:backWall>
      <c:thickness val="0"/>
      <c:spPr>
        <a:noFill/>
        <a:ln>
          <a:solidFill>
            <a:srgbClr val="B3B3B3"/>
          </a:solidFill>
        </a:ln>
      </c:spPr>
    </c:backWall>
    <c:plotArea>
      <c:layout>
        <c:manualLayout>
          <c:layoutTarget val="inner"/>
          <c:xMode val="edge"/>
          <c:yMode val="edge"/>
          <c:x val="8.5491241431835494E-2"/>
          <c:y val="0.114467408585056"/>
          <c:w val="0.86449606499111398"/>
          <c:h val="0.74868533692063099"/>
        </c:manualLayout>
      </c:layout>
      <c:area3DChart>
        <c:grouping val="standard"/>
        <c:varyColors val="1"/>
        <c:ser>
          <c:idx val="0"/>
          <c:order val="0"/>
          <c:tx>
            <c:strRef>
              <c:f>'Statisk plan'!$J$1</c:f>
              <c:strCache>
                <c:ptCount val="1"/>
                <c:pt idx="0">
                  <c:v>Sparte renter akkumulert</c:v>
                </c:pt>
              </c:strCache>
            </c:strRef>
          </c:tx>
          <c:spPr>
            <a:solidFill>
              <a:srgbClr val="FFD320"/>
            </a:solidFill>
            <a:ln>
              <a:solidFill>
                <a:srgbClr val="000000"/>
              </a:solidFill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'Statisk plan'!$F$3:$F$362</c:f>
              <c:numCache>
                <c:formatCode>General</c:formatCode>
                <c:ptCount val="360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  <c:pt idx="96">
                  <c:v>97</c:v>
                </c:pt>
                <c:pt idx="97">
                  <c:v>98</c:v>
                </c:pt>
                <c:pt idx="98">
                  <c:v>99</c:v>
                </c:pt>
                <c:pt idx="99">
                  <c:v>100</c:v>
                </c:pt>
                <c:pt idx="100">
                  <c:v>101</c:v>
                </c:pt>
                <c:pt idx="101">
                  <c:v>102</c:v>
                </c:pt>
                <c:pt idx="102">
                  <c:v>103</c:v>
                </c:pt>
                <c:pt idx="103">
                  <c:v>104</c:v>
                </c:pt>
                <c:pt idx="104">
                  <c:v>105</c:v>
                </c:pt>
                <c:pt idx="105">
                  <c:v>106</c:v>
                </c:pt>
                <c:pt idx="106">
                  <c:v>107</c:v>
                </c:pt>
                <c:pt idx="107">
                  <c:v>108</c:v>
                </c:pt>
                <c:pt idx="108">
                  <c:v>109</c:v>
                </c:pt>
                <c:pt idx="109">
                  <c:v>110</c:v>
                </c:pt>
                <c:pt idx="110">
                  <c:v>111</c:v>
                </c:pt>
                <c:pt idx="111">
                  <c:v>112</c:v>
                </c:pt>
                <c:pt idx="112">
                  <c:v>113</c:v>
                </c:pt>
                <c:pt idx="113">
                  <c:v>114</c:v>
                </c:pt>
                <c:pt idx="114">
                  <c:v>115</c:v>
                </c:pt>
                <c:pt idx="115">
                  <c:v>116</c:v>
                </c:pt>
                <c:pt idx="116">
                  <c:v>117</c:v>
                </c:pt>
                <c:pt idx="117">
                  <c:v>118</c:v>
                </c:pt>
                <c:pt idx="118">
                  <c:v>119</c:v>
                </c:pt>
                <c:pt idx="119">
                  <c:v>120</c:v>
                </c:pt>
                <c:pt idx="120">
                  <c:v>121</c:v>
                </c:pt>
                <c:pt idx="121">
                  <c:v>122</c:v>
                </c:pt>
                <c:pt idx="122">
                  <c:v>123</c:v>
                </c:pt>
                <c:pt idx="123">
                  <c:v>124</c:v>
                </c:pt>
                <c:pt idx="124">
                  <c:v>125</c:v>
                </c:pt>
                <c:pt idx="125">
                  <c:v>126</c:v>
                </c:pt>
                <c:pt idx="126">
                  <c:v>127</c:v>
                </c:pt>
                <c:pt idx="127">
                  <c:v>128</c:v>
                </c:pt>
                <c:pt idx="128">
                  <c:v>129</c:v>
                </c:pt>
                <c:pt idx="129">
                  <c:v>130</c:v>
                </c:pt>
                <c:pt idx="130">
                  <c:v>131</c:v>
                </c:pt>
                <c:pt idx="131">
                  <c:v>132</c:v>
                </c:pt>
                <c:pt idx="132">
                  <c:v>133</c:v>
                </c:pt>
                <c:pt idx="133">
                  <c:v>134</c:v>
                </c:pt>
                <c:pt idx="134">
                  <c:v>135</c:v>
                </c:pt>
                <c:pt idx="135">
                  <c:v>136</c:v>
                </c:pt>
                <c:pt idx="136">
                  <c:v>137</c:v>
                </c:pt>
                <c:pt idx="137">
                  <c:v>138</c:v>
                </c:pt>
                <c:pt idx="138">
                  <c:v>139</c:v>
                </c:pt>
                <c:pt idx="139">
                  <c:v>140</c:v>
                </c:pt>
                <c:pt idx="140">
                  <c:v>141</c:v>
                </c:pt>
                <c:pt idx="141">
                  <c:v>142</c:v>
                </c:pt>
                <c:pt idx="142">
                  <c:v>143</c:v>
                </c:pt>
                <c:pt idx="143">
                  <c:v>144</c:v>
                </c:pt>
                <c:pt idx="144">
                  <c:v>145</c:v>
                </c:pt>
                <c:pt idx="145">
                  <c:v>146</c:v>
                </c:pt>
                <c:pt idx="146">
                  <c:v>147</c:v>
                </c:pt>
                <c:pt idx="147">
                  <c:v>148</c:v>
                </c:pt>
                <c:pt idx="148">
                  <c:v>149</c:v>
                </c:pt>
                <c:pt idx="149">
                  <c:v>150</c:v>
                </c:pt>
                <c:pt idx="150">
                  <c:v>151</c:v>
                </c:pt>
                <c:pt idx="151">
                  <c:v>152</c:v>
                </c:pt>
                <c:pt idx="152">
                  <c:v>153</c:v>
                </c:pt>
                <c:pt idx="153">
                  <c:v>154</c:v>
                </c:pt>
                <c:pt idx="154">
                  <c:v>155</c:v>
                </c:pt>
                <c:pt idx="155">
                  <c:v>156</c:v>
                </c:pt>
                <c:pt idx="156">
                  <c:v>157</c:v>
                </c:pt>
                <c:pt idx="157">
                  <c:v>158</c:v>
                </c:pt>
                <c:pt idx="158">
                  <c:v>159</c:v>
                </c:pt>
                <c:pt idx="159">
                  <c:v>160</c:v>
                </c:pt>
                <c:pt idx="160">
                  <c:v>161</c:v>
                </c:pt>
                <c:pt idx="161">
                  <c:v>162</c:v>
                </c:pt>
                <c:pt idx="162">
                  <c:v>163</c:v>
                </c:pt>
                <c:pt idx="163">
                  <c:v>164</c:v>
                </c:pt>
                <c:pt idx="164">
                  <c:v>165</c:v>
                </c:pt>
                <c:pt idx="165">
                  <c:v>166</c:v>
                </c:pt>
                <c:pt idx="166">
                  <c:v>167</c:v>
                </c:pt>
                <c:pt idx="167">
                  <c:v>168</c:v>
                </c:pt>
                <c:pt idx="168">
                  <c:v>169</c:v>
                </c:pt>
                <c:pt idx="169">
                  <c:v>170</c:v>
                </c:pt>
                <c:pt idx="170">
                  <c:v>171</c:v>
                </c:pt>
                <c:pt idx="171">
                  <c:v>172</c:v>
                </c:pt>
                <c:pt idx="172">
                  <c:v>173</c:v>
                </c:pt>
                <c:pt idx="173">
                  <c:v>174</c:v>
                </c:pt>
                <c:pt idx="174">
                  <c:v>175</c:v>
                </c:pt>
                <c:pt idx="175">
                  <c:v>176</c:v>
                </c:pt>
                <c:pt idx="176">
                  <c:v>177</c:v>
                </c:pt>
                <c:pt idx="177">
                  <c:v>178</c:v>
                </c:pt>
                <c:pt idx="178">
                  <c:v>179</c:v>
                </c:pt>
                <c:pt idx="179">
                  <c:v>180</c:v>
                </c:pt>
                <c:pt idx="180">
                  <c:v>181</c:v>
                </c:pt>
                <c:pt idx="181">
                  <c:v>182</c:v>
                </c:pt>
                <c:pt idx="182">
                  <c:v>183</c:v>
                </c:pt>
                <c:pt idx="183">
                  <c:v>184</c:v>
                </c:pt>
                <c:pt idx="184">
                  <c:v>185</c:v>
                </c:pt>
                <c:pt idx="185">
                  <c:v>186</c:v>
                </c:pt>
                <c:pt idx="186">
                  <c:v>187</c:v>
                </c:pt>
                <c:pt idx="187">
                  <c:v>188</c:v>
                </c:pt>
                <c:pt idx="188">
                  <c:v>189</c:v>
                </c:pt>
                <c:pt idx="189">
                  <c:v>190</c:v>
                </c:pt>
                <c:pt idx="190">
                  <c:v>191</c:v>
                </c:pt>
                <c:pt idx="191">
                  <c:v>192</c:v>
                </c:pt>
                <c:pt idx="192">
                  <c:v>193</c:v>
                </c:pt>
                <c:pt idx="193">
                  <c:v>194</c:v>
                </c:pt>
                <c:pt idx="194">
                  <c:v>195</c:v>
                </c:pt>
                <c:pt idx="195">
                  <c:v>196</c:v>
                </c:pt>
                <c:pt idx="196">
                  <c:v>197</c:v>
                </c:pt>
                <c:pt idx="197">
                  <c:v>198</c:v>
                </c:pt>
                <c:pt idx="198">
                  <c:v>199</c:v>
                </c:pt>
                <c:pt idx="199">
                  <c:v>200</c:v>
                </c:pt>
                <c:pt idx="200">
                  <c:v>201</c:v>
                </c:pt>
                <c:pt idx="201">
                  <c:v>202</c:v>
                </c:pt>
                <c:pt idx="202">
                  <c:v>203</c:v>
                </c:pt>
                <c:pt idx="203">
                  <c:v>204</c:v>
                </c:pt>
                <c:pt idx="204">
                  <c:v>205</c:v>
                </c:pt>
                <c:pt idx="205">
                  <c:v>206</c:v>
                </c:pt>
                <c:pt idx="206">
                  <c:v>207</c:v>
                </c:pt>
                <c:pt idx="207">
                  <c:v>208</c:v>
                </c:pt>
                <c:pt idx="208">
                  <c:v>209</c:v>
                </c:pt>
                <c:pt idx="209">
                  <c:v>210</c:v>
                </c:pt>
                <c:pt idx="210">
                  <c:v>211</c:v>
                </c:pt>
                <c:pt idx="211">
                  <c:v>212</c:v>
                </c:pt>
                <c:pt idx="212">
                  <c:v>213</c:v>
                </c:pt>
                <c:pt idx="213">
                  <c:v>214</c:v>
                </c:pt>
                <c:pt idx="214">
                  <c:v>215</c:v>
                </c:pt>
                <c:pt idx="215">
                  <c:v>216</c:v>
                </c:pt>
                <c:pt idx="216">
                  <c:v>217</c:v>
                </c:pt>
                <c:pt idx="217">
                  <c:v>218</c:v>
                </c:pt>
                <c:pt idx="218">
                  <c:v>219</c:v>
                </c:pt>
                <c:pt idx="219">
                  <c:v>220</c:v>
                </c:pt>
                <c:pt idx="220">
                  <c:v>221</c:v>
                </c:pt>
                <c:pt idx="221">
                  <c:v>222</c:v>
                </c:pt>
                <c:pt idx="222">
                  <c:v>223</c:v>
                </c:pt>
                <c:pt idx="223">
                  <c:v>224</c:v>
                </c:pt>
                <c:pt idx="224">
                  <c:v>225</c:v>
                </c:pt>
                <c:pt idx="225">
                  <c:v>226</c:v>
                </c:pt>
                <c:pt idx="226">
                  <c:v>227</c:v>
                </c:pt>
                <c:pt idx="227">
                  <c:v>228</c:v>
                </c:pt>
                <c:pt idx="228">
                  <c:v>229</c:v>
                </c:pt>
                <c:pt idx="229">
                  <c:v>230</c:v>
                </c:pt>
                <c:pt idx="230">
                  <c:v>231</c:v>
                </c:pt>
                <c:pt idx="231">
                  <c:v>232</c:v>
                </c:pt>
                <c:pt idx="232">
                  <c:v>233</c:v>
                </c:pt>
                <c:pt idx="233">
                  <c:v>234</c:v>
                </c:pt>
                <c:pt idx="234">
                  <c:v>235</c:v>
                </c:pt>
                <c:pt idx="235">
                  <c:v>236</c:v>
                </c:pt>
                <c:pt idx="236">
                  <c:v>237</c:v>
                </c:pt>
                <c:pt idx="237">
                  <c:v>238</c:v>
                </c:pt>
                <c:pt idx="238">
                  <c:v>239</c:v>
                </c:pt>
                <c:pt idx="239">
                  <c:v>240</c:v>
                </c:pt>
                <c:pt idx="240">
                  <c:v>241</c:v>
                </c:pt>
                <c:pt idx="241">
                  <c:v>242</c:v>
                </c:pt>
                <c:pt idx="242">
                  <c:v>243</c:v>
                </c:pt>
                <c:pt idx="243">
                  <c:v>244</c:v>
                </c:pt>
                <c:pt idx="244">
                  <c:v>245</c:v>
                </c:pt>
                <c:pt idx="245">
                  <c:v>246</c:v>
                </c:pt>
                <c:pt idx="246">
                  <c:v>247</c:v>
                </c:pt>
                <c:pt idx="247">
                  <c:v>248</c:v>
                </c:pt>
                <c:pt idx="248">
                  <c:v>249</c:v>
                </c:pt>
                <c:pt idx="249">
                  <c:v>250</c:v>
                </c:pt>
                <c:pt idx="250">
                  <c:v>251</c:v>
                </c:pt>
                <c:pt idx="251">
                  <c:v>252</c:v>
                </c:pt>
                <c:pt idx="252">
                  <c:v>253</c:v>
                </c:pt>
                <c:pt idx="253">
                  <c:v>254</c:v>
                </c:pt>
                <c:pt idx="254">
                  <c:v>255</c:v>
                </c:pt>
                <c:pt idx="255">
                  <c:v>256</c:v>
                </c:pt>
                <c:pt idx="256">
                  <c:v>257</c:v>
                </c:pt>
                <c:pt idx="257">
                  <c:v>258</c:v>
                </c:pt>
                <c:pt idx="258">
                  <c:v>259</c:v>
                </c:pt>
                <c:pt idx="259">
                  <c:v>260</c:v>
                </c:pt>
                <c:pt idx="260">
                  <c:v>261</c:v>
                </c:pt>
                <c:pt idx="261">
                  <c:v>262</c:v>
                </c:pt>
                <c:pt idx="262">
                  <c:v>263</c:v>
                </c:pt>
                <c:pt idx="263">
                  <c:v>264</c:v>
                </c:pt>
                <c:pt idx="264">
                  <c:v>265</c:v>
                </c:pt>
                <c:pt idx="265">
                  <c:v>266</c:v>
                </c:pt>
                <c:pt idx="266">
                  <c:v>267</c:v>
                </c:pt>
                <c:pt idx="267">
                  <c:v>268</c:v>
                </c:pt>
                <c:pt idx="268">
                  <c:v>269</c:v>
                </c:pt>
                <c:pt idx="269">
                  <c:v>270</c:v>
                </c:pt>
                <c:pt idx="270">
                  <c:v>271</c:v>
                </c:pt>
                <c:pt idx="271">
                  <c:v>272</c:v>
                </c:pt>
                <c:pt idx="272">
                  <c:v>273</c:v>
                </c:pt>
                <c:pt idx="273">
                  <c:v>274</c:v>
                </c:pt>
                <c:pt idx="274">
                  <c:v>275</c:v>
                </c:pt>
                <c:pt idx="275">
                  <c:v>276</c:v>
                </c:pt>
                <c:pt idx="276">
                  <c:v>277</c:v>
                </c:pt>
                <c:pt idx="277">
                  <c:v>278</c:v>
                </c:pt>
                <c:pt idx="278">
                  <c:v>279</c:v>
                </c:pt>
                <c:pt idx="279">
                  <c:v>280</c:v>
                </c:pt>
                <c:pt idx="280">
                  <c:v>281</c:v>
                </c:pt>
                <c:pt idx="281">
                  <c:v>282</c:v>
                </c:pt>
                <c:pt idx="282">
                  <c:v>283</c:v>
                </c:pt>
                <c:pt idx="283">
                  <c:v>284</c:v>
                </c:pt>
                <c:pt idx="284">
                  <c:v>285</c:v>
                </c:pt>
                <c:pt idx="285">
                  <c:v>286</c:v>
                </c:pt>
                <c:pt idx="286">
                  <c:v>287</c:v>
                </c:pt>
                <c:pt idx="287">
                  <c:v>288</c:v>
                </c:pt>
                <c:pt idx="288">
                  <c:v>289</c:v>
                </c:pt>
                <c:pt idx="289">
                  <c:v>290</c:v>
                </c:pt>
                <c:pt idx="290">
                  <c:v>291</c:v>
                </c:pt>
                <c:pt idx="291">
                  <c:v>292</c:v>
                </c:pt>
                <c:pt idx="292">
                  <c:v>293</c:v>
                </c:pt>
                <c:pt idx="293">
                  <c:v>294</c:v>
                </c:pt>
                <c:pt idx="294">
                  <c:v>295</c:v>
                </c:pt>
                <c:pt idx="295">
                  <c:v>296</c:v>
                </c:pt>
                <c:pt idx="296">
                  <c:v>297</c:v>
                </c:pt>
                <c:pt idx="297">
                  <c:v>298</c:v>
                </c:pt>
                <c:pt idx="298">
                  <c:v>299</c:v>
                </c:pt>
                <c:pt idx="299">
                  <c:v>300</c:v>
                </c:pt>
                <c:pt idx="300">
                  <c:v>301</c:v>
                </c:pt>
                <c:pt idx="301">
                  <c:v>302</c:v>
                </c:pt>
                <c:pt idx="302">
                  <c:v>303</c:v>
                </c:pt>
                <c:pt idx="303">
                  <c:v>304</c:v>
                </c:pt>
                <c:pt idx="304">
                  <c:v>305</c:v>
                </c:pt>
                <c:pt idx="305">
                  <c:v>306</c:v>
                </c:pt>
                <c:pt idx="306">
                  <c:v>307</c:v>
                </c:pt>
                <c:pt idx="307">
                  <c:v>308</c:v>
                </c:pt>
                <c:pt idx="308">
                  <c:v>309</c:v>
                </c:pt>
                <c:pt idx="309">
                  <c:v>310</c:v>
                </c:pt>
                <c:pt idx="310">
                  <c:v>311</c:v>
                </c:pt>
                <c:pt idx="311">
                  <c:v>312</c:v>
                </c:pt>
                <c:pt idx="312">
                  <c:v>313</c:v>
                </c:pt>
                <c:pt idx="313">
                  <c:v>314</c:v>
                </c:pt>
                <c:pt idx="314">
                  <c:v>315</c:v>
                </c:pt>
                <c:pt idx="315">
                  <c:v>316</c:v>
                </c:pt>
                <c:pt idx="316">
                  <c:v>317</c:v>
                </c:pt>
                <c:pt idx="317">
                  <c:v>318</c:v>
                </c:pt>
                <c:pt idx="318">
                  <c:v>319</c:v>
                </c:pt>
                <c:pt idx="319">
                  <c:v>320</c:v>
                </c:pt>
                <c:pt idx="320">
                  <c:v>321</c:v>
                </c:pt>
                <c:pt idx="321">
                  <c:v>322</c:v>
                </c:pt>
                <c:pt idx="322">
                  <c:v>323</c:v>
                </c:pt>
                <c:pt idx="323">
                  <c:v>324</c:v>
                </c:pt>
                <c:pt idx="324">
                  <c:v>325</c:v>
                </c:pt>
                <c:pt idx="325">
                  <c:v>326</c:v>
                </c:pt>
                <c:pt idx="326">
                  <c:v>327</c:v>
                </c:pt>
                <c:pt idx="327">
                  <c:v>328</c:v>
                </c:pt>
                <c:pt idx="328">
                  <c:v>329</c:v>
                </c:pt>
                <c:pt idx="329">
                  <c:v>330</c:v>
                </c:pt>
                <c:pt idx="330">
                  <c:v>331</c:v>
                </c:pt>
                <c:pt idx="331">
                  <c:v>332</c:v>
                </c:pt>
                <c:pt idx="332">
                  <c:v>333</c:v>
                </c:pt>
                <c:pt idx="333">
                  <c:v>334</c:v>
                </c:pt>
                <c:pt idx="334">
                  <c:v>335</c:v>
                </c:pt>
                <c:pt idx="335">
                  <c:v>336</c:v>
                </c:pt>
                <c:pt idx="336">
                  <c:v>337</c:v>
                </c:pt>
                <c:pt idx="337">
                  <c:v>338</c:v>
                </c:pt>
                <c:pt idx="338">
                  <c:v>339</c:v>
                </c:pt>
                <c:pt idx="339">
                  <c:v>340</c:v>
                </c:pt>
                <c:pt idx="340">
                  <c:v>341</c:v>
                </c:pt>
                <c:pt idx="341">
                  <c:v>342</c:v>
                </c:pt>
                <c:pt idx="342">
                  <c:v>343</c:v>
                </c:pt>
                <c:pt idx="343">
                  <c:v>344</c:v>
                </c:pt>
                <c:pt idx="344">
                  <c:v>345</c:v>
                </c:pt>
                <c:pt idx="345">
                  <c:v>346</c:v>
                </c:pt>
                <c:pt idx="346">
                  <c:v>347</c:v>
                </c:pt>
                <c:pt idx="347">
                  <c:v>348</c:v>
                </c:pt>
                <c:pt idx="348">
                  <c:v>349</c:v>
                </c:pt>
                <c:pt idx="349">
                  <c:v>350</c:v>
                </c:pt>
                <c:pt idx="350">
                  <c:v>351</c:v>
                </c:pt>
                <c:pt idx="351">
                  <c:v>352</c:v>
                </c:pt>
                <c:pt idx="352">
                  <c:v>353</c:v>
                </c:pt>
                <c:pt idx="353">
                  <c:v>354</c:v>
                </c:pt>
                <c:pt idx="354">
                  <c:v>355</c:v>
                </c:pt>
                <c:pt idx="355">
                  <c:v>356</c:v>
                </c:pt>
                <c:pt idx="356">
                  <c:v>357</c:v>
                </c:pt>
                <c:pt idx="357">
                  <c:v>358</c:v>
                </c:pt>
                <c:pt idx="358">
                  <c:v>359</c:v>
                </c:pt>
                <c:pt idx="359">
                  <c:v>360</c:v>
                </c:pt>
              </c:numCache>
            </c:numRef>
          </c:cat>
          <c:val>
            <c:numRef>
              <c:f>'Statisk plan'!$J$3:$J$362</c:f>
              <c:numCache>
                <c:formatCode>[$kr-414]\ #,##0;\-[$kr-414]\ #,##0</c:formatCode>
                <c:ptCount val="360"/>
                <c:pt idx="0">
                  <c:v>0</c:v>
                </c:pt>
                <c:pt idx="1">
                  <c:v>6</c:v>
                </c:pt>
                <c:pt idx="2">
                  <c:v>19</c:v>
                </c:pt>
                <c:pt idx="3">
                  <c:v>38</c:v>
                </c:pt>
                <c:pt idx="4">
                  <c:v>63</c:v>
                </c:pt>
                <c:pt idx="5">
                  <c:v>94</c:v>
                </c:pt>
                <c:pt idx="6">
                  <c:v>132</c:v>
                </c:pt>
                <c:pt idx="7">
                  <c:v>176</c:v>
                </c:pt>
                <c:pt idx="8">
                  <c:v>226</c:v>
                </c:pt>
                <c:pt idx="9">
                  <c:v>283</c:v>
                </c:pt>
                <c:pt idx="10">
                  <c:v>346</c:v>
                </c:pt>
                <c:pt idx="11">
                  <c:v>415</c:v>
                </c:pt>
                <c:pt idx="12">
                  <c:v>491</c:v>
                </c:pt>
                <c:pt idx="13">
                  <c:v>572</c:v>
                </c:pt>
                <c:pt idx="14">
                  <c:v>661</c:v>
                </c:pt>
                <c:pt idx="15">
                  <c:v>755</c:v>
                </c:pt>
                <c:pt idx="16">
                  <c:v>856</c:v>
                </c:pt>
                <c:pt idx="17">
                  <c:v>962</c:v>
                </c:pt>
                <c:pt idx="18">
                  <c:v>1076</c:v>
                </c:pt>
                <c:pt idx="19">
                  <c:v>1195</c:v>
                </c:pt>
                <c:pt idx="20">
                  <c:v>1321</c:v>
                </c:pt>
                <c:pt idx="21">
                  <c:v>1453</c:v>
                </c:pt>
                <c:pt idx="22">
                  <c:v>1592</c:v>
                </c:pt>
                <c:pt idx="23">
                  <c:v>1736</c:v>
                </c:pt>
                <c:pt idx="24">
                  <c:v>1887</c:v>
                </c:pt>
                <c:pt idx="25">
                  <c:v>2044</c:v>
                </c:pt>
                <c:pt idx="26">
                  <c:v>2208</c:v>
                </c:pt>
                <c:pt idx="27">
                  <c:v>2378</c:v>
                </c:pt>
                <c:pt idx="28">
                  <c:v>2554</c:v>
                </c:pt>
                <c:pt idx="29">
                  <c:v>2736</c:v>
                </c:pt>
                <c:pt idx="30">
                  <c:v>2925</c:v>
                </c:pt>
                <c:pt idx="31">
                  <c:v>3120</c:v>
                </c:pt>
                <c:pt idx="32">
                  <c:v>3321</c:v>
                </c:pt>
                <c:pt idx="33">
                  <c:v>3529</c:v>
                </c:pt>
                <c:pt idx="34">
                  <c:v>3743</c:v>
                </c:pt>
                <c:pt idx="35">
                  <c:v>3963</c:v>
                </c:pt>
                <c:pt idx="36">
                  <c:v>4190</c:v>
                </c:pt>
                <c:pt idx="37">
                  <c:v>4422</c:v>
                </c:pt>
                <c:pt idx="38">
                  <c:v>4661</c:v>
                </c:pt>
                <c:pt idx="39">
                  <c:v>4907</c:v>
                </c:pt>
                <c:pt idx="40">
                  <c:v>5158</c:v>
                </c:pt>
                <c:pt idx="41">
                  <c:v>5416</c:v>
                </c:pt>
                <c:pt idx="42">
                  <c:v>5680</c:v>
                </c:pt>
                <c:pt idx="43">
                  <c:v>5951</c:v>
                </c:pt>
                <c:pt idx="44">
                  <c:v>6228</c:v>
                </c:pt>
                <c:pt idx="45">
                  <c:v>6511</c:v>
                </c:pt>
                <c:pt idx="46">
                  <c:v>6800</c:v>
                </c:pt>
                <c:pt idx="47">
                  <c:v>7096</c:v>
                </c:pt>
                <c:pt idx="48">
                  <c:v>7398</c:v>
                </c:pt>
                <c:pt idx="49">
                  <c:v>7706</c:v>
                </c:pt>
                <c:pt idx="50">
                  <c:v>8021</c:v>
                </c:pt>
                <c:pt idx="51">
                  <c:v>8341</c:v>
                </c:pt>
                <c:pt idx="52">
                  <c:v>8668</c:v>
                </c:pt>
                <c:pt idx="53">
                  <c:v>9002</c:v>
                </c:pt>
                <c:pt idx="54">
                  <c:v>9342</c:v>
                </c:pt>
                <c:pt idx="55">
                  <c:v>9688</c:v>
                </c:pt>
                <c:pt idx="56">
                  <c:v>10040</c:v>
                </c:pt>
                <c:pt idx="57">
                  <c:v>10398</c:v>
                </c:pt>
                <c:pt idx="58">
                  <c:v>10763</c:v>
                </c:pt>
                <c:pt idx="59">
                  <c:v>11134</c:v>
                </c:pt>
                <c:pt idx="60">
                  <c:v>11512</c:v>
                </c:pt>
                <c:pt idx="61">
                  <c:v>11896</c:v>
                </c:pt>
                <c:pt idx="62">
                  <c:v>12286</c:v>
                </c:pt>
                <c:pt idx="63">
                  <c:v>12682</c:v>
                </c:pt>
                <c:pt idx="64">
                  <c:v>13085</c:v>
                </c:pt>
                <c:pt idx="65">
                  <c:v>13493</c:v>
                </c:pt>
                <c:pt idx="66">
                  <c:v>13909</c:v>
                </c:pt>
                <c:pt idx="67">
                  <c:v>14330</c:v>
                </c:pt>
                <c:pt idx="68">
                  <c:v>14758</c:v>
                </c:pt>
                <c:pt idx="69">
                  <c:v>15192</c:v>
                </c:pt>
                <c:pt idx="70">
                  <c:v>15632</c:v>
                </c:pt>
                <c:pt idx="71">
                  <c:v>16079</c:v>
                </c:pt>
                <c:pt idx="72">
                  <c:v>16532</c:v>
                </c:pt>
                <c:pt idx="73">
                  <c:v>16991</c:v>
                </c:pt>
                <c:pt idx="74">
                  <c:v>17456</c:v>
                </c:pt>
                <c:pt idx="75">
                  <c:v>17928</c:v>
                </c:pt>
                <c:pt idx="76">
                  <c:v>18406</c:v>
                </c:pt>
                <c:pt idx="77">
                  <c:v>18891</c:v>
                </c:pt>
                <c:pt idx="78">
                  <c:v>19381</c:v>
                </c:pt>
                <c:pt idx="79">
                  <c:v>19878</c:v>
                </c:pt>
                <c:pt idx="80">
                  <c:v>20382</c:v>
                </c:pt>
                <c:pt idx="81">
                  <c:v>20891</c:v>
                </c:pt>
                <c:pt idx="82">
                  <c:v>21407</c:v>
                </c:pt>
                <c:pt idx="83">
                  <c:v>21929</c:v>
                </c:pt>
                <c:pt idx="84">
                  <c:v>22458</c:v>
                </c:pt>
                <c:pt idx="85">
                  <c:v>22992</c:v>
                </c:pt>
                <c:pt idx="86">
                  <c:v>23533</c:v>
                </c:pt>
                <c:pt idx="87">
                  <c:v>24081</c:v>
                </c:pt>
                <c:pt idx="88">
                  <c:v>24634</c:v>
                </c:pt>
                <c:pt idx="89">
                  <c:v>25194</c:v>
                </c:pt>
                <c:pt idx="90">
                  <c:v>25760</c:v>
                </c:pt>
                <c:pt idx="91">
                  <c:v>26333</c:v>
                </c:pt>
                <c:pt idx="92">
                  <c:v>26911</c:v>
                </c:pt>
                <c:pt idx="93">
                  <c:v>27496</c:v>
                </c:pt>
                <c:pt idx="94">
                  <c:v>28088</c:v>
                </c:pt>
                <c:pt idx="95">
                  <c:v>28685</c:v>
                </c:pt>
                <c:pt idx="96">
                  <c:v>29289</c:v>
                </c:pt>
                <c:pt idx="97">
                  <c:v>29899</c:v>
                </c:pt>
                <c:pt idx="98">
                  <c:v>30516</c:v>
                </c:pt>
                <c:pt idx="99">
                  <c:v>31139</c:v>
                </c:pt>
                <c:pt idx="100">
                  <c:v>31768</c:v>
                </c:pt>
                <c:pt idx="101">
                  <c:v>32403</c:v>
                </c:pt>
                <c:pt idx="102">
                  <c:v>33045</c:v>
                </c:pt>
                <c:pt idx="103">
                  <c:v>33693</c:v>
                </c:pt>
                <c:pt idx="104">
                  <c:v>34347</c:v>
                </c:pt>
                <c:pt idx="105">
                  <c:v>35007</c:v>
                </c:pt>
                <c:pt idx="106">
                  <c:v>35674</c:v>
                </c:pt>
                <c:pt idx="107">
                  <c:v>36347</c:v>
                </c:pt>
                <c:pt idx="108">
                  <c:v>37027</c:v>
                </c:pt>
                <c:pt idx="109">
                  <c:v>37712</c:v>
                </c:pt>
                <c:pt idx="110">
                  <c:v>38404</c:v>
                </c:pt>
                <c:pt idx="111">
                  <c:v>39103</c:v>
                </c:pt>
                <c:pt idx="112">
                  <c:v>39807</c:v>
                </c:pt>
                <c:pt idx="113">
                  <c:v>40518</c:v>
                </c:pt>
                <c:pt idx="114">
                  <c:v>41235</c:v>
                </c:pt>
                <c:pt idx="115">
                  <c:v>41958</c:v>
                </c:pt>
                <c:pt idx="116">
                  <c:v>42688</c:v>
                </c:pt>
                <c:pt idx="117">
                  <c:v>43424</c:v>
                </c:pt>
                <c:pt idx="118">
                  <c:v>44166</c:v>
                </c:pt>
                <c:pt idx="119">
                  <c:v>44915</c:v>
                </c:pt>
                <c:pt idx="120">
                  <c:v>45670</c:v>
                </c:pt>
                <c:pt idx="121">
                  <c:v>46431</c:v>
                </c:pt>
                <c:pt idx="122">
                  <c:v>47199</c:v>
                </c:pt>
                <c:pt idx="123">
                  <c:v>47972</c:v>
                </c:pt>
                <c:pt idx="124">
                  <c:v>48752</c:v>
                </c:pt>
                <c:pt idx="125">
                  <c:v>49539</c:v>
                </c:pt>
                <c:pt idx="126">
                  <c:v>50331</c:v>
                </c:pt>
                <c:pt idx="127">
                  <c:v>51130</c:v>
                </c:pt>
                <c:pt idx="128">
                  <c:v>51935</c:v>
                </c:pt>
                <c:pt idx="129">
                  <c:v>52747</c:v>
                </c:pt>
                <c:pt idx="130">
                  <c:v>53565</c:v>
                </c:pt>
                <c:pt idx="131">
                  <c:v>54389</c:v>
                </c:pt>
                <c:pt idx="132">
                  <c:v>55219</c:v>
                </c:pt>
                <c:pt idx="133">
                  <c:v>56056</c:v>
                </c:pt>
                <c:pt idx="134">
                  <c:v>56899</c:v>
                </c:pt>
                <c:pt idx="135">
                  <c:v>57748</c:v>
                </c:pt>
                <c:pt idx="136">
                  <c:v>58603</c:v>
                </c:pt>
                <c:pt idx="137">
                  <c:v>59465</c:v>
                </c:pt>
                <c:pt idx="138">
                  <c:v>60333</c:v>
                </c:pt>
                <c:pt idx="139">
                  <c:v>61208</c:v>
                </c:pt>
                <c:pt idx="140">
                  <c:v>62088</c:v>
                </c:pt>
                <c:pt idx="141">
                  <c:v>62975</c:v>
                </c:pt>
                <c:pt idx="142">
                  <c:v>63869</c:v>
                </c:pt>
                <c:pt idx="143">
                  <c:v>64768</c:v>
                </c:pt>
                <c:pt idx="144">
                  <c:v>65674</c:v>
                </c:pt>
                <c:pt idx="145">
                  <c:v>66586</c:v>
                </c:pt>
                <c:pt idx="146">
                  <c:v>67505</c:v>
                </c:pt>
                <c:pt idx="147">
                  <c:v>68429</c:v>
                </c:pt>
                <c:pt idx="148">
                  <c:v>69360</c:v>
                </c:pt>
                <c:pt idx="149">
                  <c:v>70298</c:v>
                </c:pt>
                <c:pt idx="150">
                  <c:v>71241</c:v>
                </c:pt>
                <c:pt idx="151">
                  <c:v>72191</c:v>
                </c:pt>
                <c:pt idx="152">
                  <c:v>73147</c:v>
                </c:pt>
                <c:pt idx="153">
                  <c:v>74110</c:v>
                </c:pt>
                <c:pt idx="154">
                  <c:v>75079</c:v>
                </c:pt>
                <c:pt idx="155">
                  <c:v>76054</c:v>
                </c:pt>
                <c:pt idx="156">
                  <c:v>77035</c:v>
                </c:pt>
                <c:pt idx="157">
                  <c:v>78023</c:v>
                </c:pt>
                <c:pt idx="158">
                  <c:v>79017</c:v>
                </c:pt>
                <c:pt idx="159">
                  <c:v>80017</c:v>
                </c:pt>
                <c:pt idx="160">
                  <c:v>81023</c:v>
                </c:pt>
                <c:pt idx="161">
                  <c:v>82036</c:v>
                </c:pt>
                <c:pt idx="162">
                  <c:v>83055</c:v>
                </c:pt>
                <c:pt idx="163">
                  <c:v>84080</c:v>
                </c:pt>
                <c:pt idx="164">
                  <c:v>85112</c:v>
                </c:pt>
                <c:pt idx="165">
                  <c:v>86150</c:v>
                </c:pt>
                <c:pt idx="166">
                  <c:v>87194</c:v>
                </c:pt>
                <c:pt idx="167">
                  <c:v>88245</c:v>
                </c:pt>
                <c:pt idx="168">
                  <c:v>89302</c:v>
                </c:pt>
                <c:pt idx="169">
                  <c:v>90365</c:v>
                </c:pt>
                <c:pt idx="170">
                  <c:v>91434</c:v>
                </c:pt>
                <c:pt idx="171">
                  <c:v>92510</c:v>
                </c:pt>
                <c:pt idx="172">
                  <c:v>93592</c:v>
                </c:pt>
                <c:pt idx="173">
                  <c:v>94680</c:v>
                </c:pt>
                <c:pt idx="174">
                  <c:v>95775</c:v>
                </c:pt>
                <c:pt idx="175">
                  <c:v>96876</c:v>
                </c:pt>
                <c:pt idx="176">
                  <c:v>97983</c:v>
                </c:pt>
                <c:pt idx="177">
                  <c:v>99096</c:v>
                </c:pt>
                <c:pt idx="178">
                  <c:v>100216</c:v>
                </c:pt>
                <c:pt idx="179">
                  <c:v>101342</c:v>
                </c:pt>
                <c:pt idx="180">
                  <c:v>102474</c:v>
                </c:pt>
                <c:pt idx="181">
                  <c:v>103613</c:v>
                </c:pt>
                <c:pt idx="182">
                  <c:v>104758</c:v>
                </c:pt>
                <c:pt idx="183">
                  <c:v>105909</c:v>
                </c:pt>
                <c:pt idx="184">
                  <c:v>107066</c:v>
                </c:pt>
                <c:pt idx="185">
                  <c:v>108230</c:v>
                </c:pt>
                <c:pt idx="186">
                  <c:v>109400</c:v>
                </c:pt>
                <c:pt idx="187">
                  <c:v>110577</c:v>
                </c:pt>
                <c:pt idx="188">
                  <c:v>111759</c:v>
                </c:pt>
                <c:pt idx="189">
                  <c:v>112948</c:v>
                </c:pt>
                <c:pt idx="190">
                  <c:v>114143</c:v>
                </c:pt>
                <c:pt idx="191">
                  <c:v>115345</c:v>
                </c:pt>
                <c:pt idx="192">
                  <c:v>116553</c:v>
                </c:pt>
                <c:pt idx="193">
                  <c:v>117767</c:v>
                </c:pt>
                <c:pt idx="194">
                  <c:v>118987</c:v>
                </c:pt>
                <c:pt idx="195">
                  <c:v>120214</c:v>
                </c:pt>
                <c:pt idx="196">
                  <c:v>121447</c:v>
                </c:pt>
                <c:pt idx="197">
                  <c:v>122686</c:v>
                </c:pt>
                <c:pt idx="198">
                  <c:v>123932</c:v>
                </c:pt>
                <c:pt idx="199">
                  <c:v>125183</c:v>
                </c:pt>
                <c:pt idx="200">
                  <c:v>126442</c:v>
                </c:pt>
                <c:pt idx="201">
                  <c:v>127706</c:v>
                </c:pt>
                <c:pt idx="202">
                  <c:v>128977</c:v>
                </c:pt>
                <c:pt idx="203">
                  <c:v>130254</c:v>
                </c:pt>
                <c:pt idx="204">
                  <c:v>131537</c:v>
                </c:pt>
                <c:pt idx="205">
                  <c:v>132827</c:v>
                </c:pt>
                <c:pt idx="206">
                  <c:v>134122</c:v>
                </c:pt>
                <c:pt idx="207">
                  <c:v>135425</c:v>
                </c:pt>
                <c:pt idx="208">
                  <c:v>136733</c:v>
                </c:pt>
                <c:pt idx="209">
                  <c:v>138048</c:v>
                </c:pt>
                <c:pt idx="210">
                  <c:v>139369</c:v>
                </c:pt>
                <c:pt idx="211">
                  <c:v>140696</c:v>
                </c:pt>
                <c:pt idx="212">
                  <c:v>142030</c:v>
                </c:pt>
                <c:pt idx="213">
                  <c:v>143370</c:v>
                </c:pt>
                <c:pt idx="214">
                  <c:v>144716</c:v>
                </c:pt>
                <c:pt idx="215">
                  <c:v>146068</c:v>
                </c:pt>
                <c:pt idx="216">
                  <c:v>147427</c:v>
                </c:pt>
                <c:pt idx="217">
                  <c:v>148792</c:v>
                </c:pt>
                <c:pt idx="218">
                  <c:v>150164</c:v>
                </c:pt>
                <c:pt idx="219">
                  <c:v>151541</c:v>
                </c:pt>
                <c:pt idx="220">
                  <c:v>152925</c:v>
                </c:pt>
                <c:pt idx="221">
                  <c:v>154315</c:v>
                </c:pt>
                <c:pt idx="222">
                  <c:v>155712</c:v>
                </c:pt>
                <c:pt idx="223">
                  <c:v>157115</c:v>
                </c:pt>
                <c:pt idx="224">
                  <c:v>158524</c:v>
                </c:pt>
                <c:pt idx="225">
                  <c:v>159939</c:v>
                </c:pt>
                <c:pt idx="226">
                  <c:v>161361</c:v>
                </c:pt>
                <c:pt idx="227">
                  <c:v>162789</c:v>
                </c:pt>
                <c:pt idx="228">
                  <c:v>164223</c:v>
                </c:pt>
                <c:pt idx="229">
                  <c:v>165664</c:v>
                </c:pt>
                <c:pt idx="230">
                  <c:v>167110</c:v>
                </c:pt>
                <c:pt idx="231">
                  <c:v>168564</c:v>
                </c:pt>
                <c:pt idx="232">
                  <c:v>170023</c:v>
                </c:pt>
                <c:pt idx="233">
                  <c:v>171489</c:v>
                </c:pt>
                <c:pt idx="234">
                  <c:v>172961</c:v>
                </c:pt>
                <c:pt idx="235">
                  <c:v>174439</c:v>
                </c:pt>
                <c:pt idx="236">
                  <c:v>175924</c:v>
                </c:pt>
                <c:pt idx="237">
                  <c:v>177414</c:v>
                </c:pt>
                <c:pt idx="238">
                  <c:v>178912</c:v>
                </c:pt>
                <c:pt idx="239">
                  <c:v>180415</c:v>
                </c:pt>
                <c:pt idx="240">
                  <c:v>181925</c:v>
                </c:pt>
                <c:pt idx="241">
                  <c:v>183441</c:v>
                </c:pt>
                <c:pt idx="242">
                  <c:v>184963</c:v>
                </c:pt>
                <c:pt idx="243">
                  <c:v>186492</c:v>
                </c:pt>
                <c:pt idx="244">
                  <c:v>188027</c:v>
                </c:pt>
                <c:pt idx="245">
                  <c:v>189568</c:v>
                </c:pt>
                <c:pt idx="246">
                  <c:v>191115</c:v>
                </c:pt>
                <c:pt idx="247">
                  <c:v>192669</c:v>
                </c:pt>
                <c:pt idx="248">
                  <c:v>194229</c:v>
                </c:pt>
                <c:pt idx="249">
                  <c:v>195796</c:v>
                </c:pt>
                <c:pt idx="250">
                  <c:v>197368</c:v>
                </c:pt>
                <c:pt idx="251">
                  <c:v>198947</c:v>
                </c:pt>
                <c:pt idx="252">
                  <c:v>200533</c:v>
                </c:pt>
                <c:pt idx="253">
                  <c:v>202124</c:v>
                </c:pt>
                <c:pt idx="254">
                  <c:v>203722</c:v>
                </c:pt>
                <c:pt idx="255">
                  <c:v>205326</c:v>
                </c:pt>
                <c:pt idx="256">
                  <c:v>206936</c:v>
                </c:pt>
                <c:pt idx="257">
                  <c:v>208553</c:v>
                </c:pt>
                <c:pt idx="258">
                  <c:v>210176</c:v>
                </c:pt>
                <c:pt idx="259">
                  <c:v>211805</c:v>
                </c:pt>
                <c:pt idx="260">
                  <c:v>213441</c:v>
                </c:pt>
                <c:pt idx="261">
                  <c:v>215083</c:v>
                </c:pt>
                <c:pt idx="262">
                  <c:v>216731</c:v>
                </c:pt>
                <c:pt idx="263">
                  <c:v>218385</c:v>
                </c:pt>
                <c:pt idx="264">
                  <c:v>220046</c:v>
                </c:pt>
                <c:pt idx="265">
                  <c:v>221713</c:v>
                </c:pt>
                <c:pt idx="266">
                  <c:v>223386</c:v>
                </c:pt>
                <c:pt idx="267">
                  <c:v>225066</c:v>
                </c:pt>
                <c:pt idx="268">
                  <c:v>226747</c:v>
                </c:pt>
                <c:pt idx="269">
                  <c:v>228389</c:v>
                </c:pt>
                <c:pt idx="270">
                  <c:v>229994</c:v>
                </c:pt>
                <c:pt idx="271">
                  <c:v>231560</c:v>
                </c:pt>
                <c:pt idx="272">
                  <c:v>233088</c:v>
                </c:pt>
                <c:pt idx="273">
                  <c:v>234577</c:v>
                </c:pt>
                <c:pt idx="274">
                  <c:v>236029</c:v>
                </c:pt>
                <c:pt idx="275">
                  <c:v>237442</c:v>
                </c:pt>
                <c:pt idx="276">
                  <c:v>238817</c:v>
                </c:pt>
                <c:pt idx="277">
                  <c:v>240154</c:v>
                </c:pt>
                <c:pt idx="278">
                  <c:v>241453</c:v>
                </c:pt>
                <c:pt idx="279">
                  <c:v>242714</c:v>
                </c:pt>
                <c:pt idx="280">
                  <c:v>243936</c:v>
                </c:pt>
                <c:pt idx="281">
                  <c:v>245120</c:v>
                </c:pt>
                <c:pt idx="282">
                  <c:v>246266</c:v>
                </c:pt>
                <c:pt idx="283">
                  <c:v>247374</c:v>
                </c:pt>
                <c:pt idx="284">
                  <c:v>248443</c:v>
                </c:pt>
                <c:pt idx="285">
                  <c:v>249475</c:v>
                </c:pt>
                <c:pt idx="286">
                  <c:v>250468</c:v>
                </c:pt>
                <c:pt idx="287">
                  <c:v>251423</c:v>
                </c:pt>
                <c:pt idx="288">
                  <c:v>252340</c:v>
                </c:pt>
                <c:pt idx="289">
                  <c:v>253218</c:v>
                </c:pt>
                <c:pt idx="290">
                  <c:v>254059</c:v>
                </c:pt>
                <c:pt idx="291">
                  <c:v>254861</c:v>
                </c:pt>
                <c:pt idx="292">
                  <c:v>255625</c:v>
                </c:pt>
                <c:pt idx="293">
                  <c:v>256350</c:v>
                </c:pt>
                <c:pt idx="294">
                  <c:v>257038</c:v>
                </c:pt>
                <c:pt idx="295">
                  <c:v>257687</c:v>
                </c:pt>
                <c:pt idx="296">
                  <c:v>258299</c:v>
                </c:pt>
                <c:pt idx="297">
                  <c:v>258871</c:v>
                </c:pt>
                <c:pt idx="298">
                  <c:v>259406</c:v>
                </c:pt>
                <c:pt idx="299">
                  <c:v>259903</c:v>
                </c:pt>
                <c:pt idx="300">
                  <c:v>260361</c:v>
                </c:pt>
                <c:pt idx="301">
                  <c:v>260781</c:v>
                </c:pt>
                <c:pt idx="302">
                  <c:v>261163</c:v>
                </c:pt>
                <c:pt idx="303">
                  <c:v>261507</c:v>
                </c:pt>
                <c:pt idx="304">
                  <c:v>261813</c:v>
                </c:pt>
                <c:pt idx="305">
                  <c:v>262080</c:v>
                </c:pt>
                <c:pt idx="306">
                  <c:v>262309</c:v>
                </c:pt>
                <c:pt idx="307">
                  <c:v>262500</c:v>
                </c:pt>
                <c:pt idx="308">
                  <c:v>262653</c:v>
                </c:pt>
                <c:pt idx="309">
                  <c:v>262768</c:v>
                </c:pt>
                <c:pt idx="310">
                  <c:v>262844</c:v>
                </c:pt>
                <c:pt idx="311">
                  <c:v>262882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F0-4A7F-9ED9-80E104FD65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4890085"/>
        <c:axId val="74355744"/>
        <c:axId val="0"/>
      </c:area3DChart>
      <c:catAx>
        <c:axId val="34890085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800" b="0" strike="noStrike" spc="-1">
                <a:latin typeface="Arial"/>
              </a:defRPr>
            </a:pPr>
            <a:endParaRPr lang="nb-NO"/>
          </a:p>
        </c:txPr>
        <c:crossAx val="74355744"/>
        <c:crosses val="autoZero"/>
        <c:auto val="1"/>
        <c:lblAlgn val="ctr"/>
        <c:lblOffset val="100"/>
        <c:noMultiLvlLbl val="1"/>
      </c:catAx>
      <c:valAx>
        <c:axId val="74355744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[$kr-414]\ #,##0;\-[$kr-414]\ #,##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800" b="0" strike="noStrike" spc="-1">
                <a:latin typeface="Arial"/>
              </a:defRPr>
            </a:pPr>
            <a:endParaRPr lang="nb-NO"/>
          </a:p>
        </c:txPr>
        <c:crossAx val="34890085"/>
        <c:crosses val="min"/>
        <c:crossBetween val="midCat"/>
      </c:valAx>
    </c:plotArea>
    <c:legend>
      <c:legendPos val="t"/>
      <c:overlay val="0"/>
      <c:spPr>
        <a:noFill/>
        <a:ln>
          <a:noFill/>
        </a:ln>
      </c:spPr>
      <c:txPr>
        <a:bodyPr/>
        <a:lstStyle/>
        <a:p>
          <a:pPr>
            <a:defRPr sz="655" b="0" strike="noStrike" spc="-1">
              <a:latin typeface="Arial"/>
            </a:defRPr>
          </a:pPr>
          <a:endParaRPr lang="nb-NO"/>
        </a:p>
      </c:txPr>
    </c:legend>
    <c:plotVisOnly val="0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c:style val="2"/>
  <c:chart>
    <c:autoTitleDeleted val="1"/>
    <c:view3D>
      <c:rotX val="5"/>
      <c:rotY val="5"/>
      <c:rAngAx val="1"/>
    </c:view3D>
    <c:floor>
      <c:thickness val="0"/>
      <c:spPr>
        <a:solidFill>
          <a:srgbClr val="CCCCCC"/>
        </a:solidFill>
        <a:ln>
          <a:noFill/>
        </a:ln>
      </c:spPr>
    </c:floor>
    <c:sideWall>
      <c:thickness val="0"/>
      <c:spPr>
        <a:noFill/>
        <a:ln>
          <a:solidFill>
            <a:srgbClr val="B3B3B3"/>
          </a:solidFill>
        </a:ln>
      </c:spPr>
    </c:sideWall>
    <c:backWall>
      <c:thickness val="0"/>
      <c:spPr>
        <a:noFill/>
        <a:ln>
          <a:solidFill>
            <a:srgbClr val="B3B3B3"/>
          </a:solidFill>
        </a:ln>
      </c:spPr>
    </c:backWall>
    <c:plotArea>
      <c:layout>
        <c:manualLayout>
          <c:layoutTarget val="inner"/>
          <c:xMode val="edge"/>
          <c:yMode val="edge"/>
          <c:x val="4.3484726807649997E-2"/>
          <c:y val="2.1831381972493499E-2"/>
          <c:w val="0.89738556259480695"/>
          <c:h val="0.81875351500588001"/>
        </c:manualLayout>
      </c:layout>
      <c:area3DChart>
        <c:grouping val="standard"/>
        <c:varyColors val="1"/>
        <c:ser>
          <c:idx val="0"/>
          <c:order val="0"/>
          <c:tx>
            <c:strRef>
              <c:f>'Dynamisk plan'!$J$16</c:f>
              <c:strCache>
                <c:ptCount val="1"/>
                <c:pt idx="0">
                  <c:v>Renter</c:v>
                </c:pt>
              </c:strCache>
            </c:strRef>
          </c:tx>
          <c:spPr>
            <a:solidFill>
              <a:srgbClr val="FFD320"/>
            </a:solidFill>
            <a:ln>
              <a:solidFill>
                <a:srgbClr val="000000"/>
              </a:solidFill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'Dynamisk plan'!$A$18:$A$377</c:f>
              <c:strCache>
                <c:ptCount val="360"/>
                <c:pt idx="0">
                  <c:v>Januar 2025</c:v>
                </c:pt>
                <c:pt idx="1">
                  <c:v>Februar 2025</c:v>
                </c:pt>
                <c:pt idx="2">
                  <c:v>Mars 2025</c:v>
                </c:pt>
                <c:pt idx="3">
                  <c:v>April 2025</c:v>
                </c:pt>
                <c:pt idx="4">
                  <c:v>Mai 2025</c:v>
                </c:pt>
                <c:pt idx="5">
                  <c:v>Juni 2025</c:v>
                </c:pt>
                <c:pt idx="6">
                  <c:v>Juli 2025</c:v>
                </c:pt>
                <c:pt idx="7">
                  <c:v>August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Desember 2025</c:v>
                </c:pt>
                <c:pt idx="12">
                  <c:v>Januar 2026</c:v>
                </c:pt>
                <c:pt idx="13">
                  <c:v>Februar 2026</c:v>
                </c:pt>
                <c:pt idx="14">
                  <c:v>Mars 2026</c:v>
                </c:pt>
                <c:pt idx="15">
                  <c:v>April 2026</c:v>
                </c:pt>
                <c:pt idx="16">
                  <c:v>Mai 2026</c:v>
                </c:pt>
                <c:pt idx="17">
                  <c:v>Juni 2026</c:v>
                </c:pt>
                <c:pt idx="18">
                  <c:v>Juli 2026</c:v>
                </c:pt>
                <c:pt idx="19">
                  <c:v>August 2026</c:v>
                </c:pt>
                <c:pt idx="20">
                  <c:v>September 2026</c:v>
                </c:pt>
                <c:pt idx="21">
                  <c:v>Oktober 2026</c:v>
                </c:pt>
                <c:pt idx="22">
                  <c:v>November 2026</c:v>
                </c:pt>
                <c:pt idx="23">
                  <c:v>Desember 2026</c:v>
                </c:pt>
                <c:pt idx="24">
                  <c:v>Januar 2027</c:v>
                </c:pt>
                <c:pt idx="25">
                  <c:v>Februar 2027</c:v>
                </c:pt>
                <c:pt idx="26">
                  <c:v>Mars 2027</c:v>
                </c:pt>
                <c:pt idx="27">
                  <c:v>April 2027</c:v>
                </c:pt>
                <c:pt idx="28">
                  <c:v>Mai 2027</c:v>
                </c:pt>
                <c:pt idx="29">
                  <c:v>Juni 2027</c:v>
                </c:pt>
                <c:pt idx="30">
                  <c:v>Juli 2027</c:v>
                </c:pt>
                <c:pt idx="31">
                  <c:v>August 2027</c:v>
                </c:pt>
                <c:pt idx="32">
                  <c:v>September 2027</c:v>
                </c:pt>
                <c:pt idx="33">
                  <c:v>Oktober 2027</c:v>
                </c:pt>
                <c:pt idx="34">
                  <c:v>November 2027</c:v>
                </c:pt>
                <c:pt idx="35">
                  <c:v>Desember 2027</c:v>
                </c:pt>
                <c:pt idx="36">
                  <c:v>Januar 2028</c:v>
                </c:pt>
                <c:pt idx="37">
                  <c:v>Februar 2028</c:v>
                </c:pt>
                <c:pt idx="38">
                  <c:v>Mars 2028</c:v>
                </c:pt>
                <c:pt idx="39">
                  <c:v>April 2028</c:v>
                </c:pt>
                <c:pt idx="40">
                  <c:v>Mai 2028</c:v>
                </c:pt>
                <c:pt idx="41">
                  <c:v>Juni 2028</c:v>
                </c:pt>
                <c:pt idx="42">
                  <c:v>Juli 2028</c:v>
                </c:pt>
                <c:pt idx="43">
                  <c:v>August 2028</c:v>
                </c:pt>
                <c:pt idx="44">
                  <c:v>September 2028</c:v>
                </c:pt>
                <c:pt idx="45">
                  <c:v>Oktober 2028</c:v>
                </c:pt>
                <c:pt idx="46">
                  <c:v>November 2028</c:v>
                </c:pt>
                <c:pt idx="47">
                  <c:v>Desember 2028</c:v>
                </c:pt>
                <c:pt idx="48">
                  <c:v>Januar 2029</c:v>
                </c:pt>
                <c:pt idx="49">
                  <c:v>Februar 2029</c:v>
                </c:pt>
                <c:pt idx="50">
                  <c:v>Mars 2029</c:v>
                </c:pt>
                <c:pt idx="51">
                  <c:v>April 2029</c:v>
                </c:pt>
                <c:pt idx="52">
                  <c:v>Mai 2029</c:v>
                </c:pt>
                <c:pt idx="53">
                  <c:v>Juni 2029</c:v>
                </c:pt>
                <c:pt idx="54">
                  <c:v>Juli 2029</c:v>
                </c:pt>
                <c:pt idx="55">
                  <c:v>August 2029</c:v>
                </c:pt>
                <c:pt idx="56">
                  <c:v>September 2029</c:v>
                </c:pt>
                <c:pt idx="57">
                  <c:v>Oktober 2029</c:v>
                </c:pt>
                <c:pt idx="58">
                  <c:v>November 2029</c:v>
                </c:pt>
                <c:pt idx="59">
                  <c:v>Desember 2029</c:v>
                </c:pt>
                <c:pt idx="60">
                  <c:v>Januar 2030</c:v>
                </c:pt>
                <c:pt idx="61">
                  <c:v>Februar 2030</c:v>
                </c:pt>
                <c:pt idx="62">
                  <c:v>Mars 2030</c:v>
                </c:pt>
                <c:pt idx="63">
                  <c:v>April 2030</c:v>
                </c:pt>
                <c:pt idx="64">
                  <c:v>Mai 2030</c:v>
                </c:pt>
                <c:pt idx="65">
                  <c:v>Juni 2030</c:v>
                </c:pt>
                <c:pt idx="66">
                  <c:v>Juli 2030</c:v>
                </c:pt>
                <c:pt idx="67">
                  <c:v>August 2030</c:v>
                </c:pt>
                <c:pt idx="68">
                  <c:v>September 2030</c:v>
                </c:pt>
                <c:pt idx="69">
                  <c:v>Oktober 2030</c:v>
                </c:pt>
                <c:pt idx="70">
                  <c:v>November 2030</c:v>
                </c:pt>
                <c:pt idx="71">
                  <c:v>Desember 2030</c:v>
                </c:pt>
                <c:pt idx="72">
                  <c:v>Januar 2031</c:v>
                </c:pt>
                <c:pt idx="73">
                  <c:v>Februar 2031</c:v>
                </c:pt>
                <c:pt idx="74">
                  <c:v>Mars 2031</c:v>
                </c:pt>
                <c:pt idx="75">
                  <c:v>April 2031</c:v>
                </c:pt>
                <c:pt idx="76">
                  <c:v>Mai 2031</c:v>
                </c:pt>
                <c:pt idx="77">
                  <c:v>Juni 2031</c:v>
                </c:pt>
                <c:pt idx="78">
                  <c:v>Juli 2031</c:v>
                </c:pt>
                <c:pt idx="79">
                  <c:v>August 2031</c:v>
                </c:pt>
                <c:pt idx="80">
                  <c:v>September 2031</c:v>
                </c:pt>
                <c:pt idx="81">
                  <c:v>Oktober 2031</c:v>
                </c:pt>
                <c:pt idx="82">
                  <c:v>November 2031</c:v>
                </c:pt>
                <c:pt idx="83">
                  <c:v>Desember 2031</c:v>
                </c:pt>
                <c:pt idx="84">
                  <c:v>Januar 2032</c:v>
                </c:pt>
                <c:pt idx="85">
                  <c:v>Februar 2032</c:v>
                </c:pt>
                <c:pt idx="86">
                  <c:v>Mars 2032</c:v>
                </c:pt>
                <c:pt idx="87">
                  <c:v>April 2032</c:v>
                </c:pt>
                <c:pt idx="88">
                  <c:v>Mai 2032</c:v>
                </c:pt>
                <c:pt idx="89">
                  <c:v>Juni 2032</c:v>
                </c:pt>
                <c:pt idx="90">
                  <c:v>Juli 2032</c:v>
                </c:pt>
                <c:pt idx="91">
                  <c:v>August 2032</c:v>
                </c:pt>
                <c:pt idx="92">
                  <c:v>September 2032</c:v>
                </c:pt>
                <c:pt idx="93">
                  <c:v>Oktober 2032</c:v>
                </c:pt>
                <c:pt idx="94">
                  <c:v>November 2032</c:v>
                </c:pt>
                <c:pt idx="95">
                  <c:v>Desember 2032</c:v>
                </c:pt>
                <c:pt idx="96">
                  <c:v>Januar 2033</c:v>
                </c:pt>
                <c:pt idx="97">
                  <c:v>Februar 2033</c:v>
                </c:pt>
                <c:pt idx="98">
                  <c:v>Mars 2033</c:v>
                </c:pt>
                <c:pt idx="99">
                  <c:v>April 2033</c:v>
                </c:pt>
                <c:pt idx="100">
                  <c:v>Mai 2033</c:v>
                </c:pt>
                <c:pt idx="101">
                  <c:v>Juni 2033</c:v>
                </c:pt>
                <c:pt idx="102">
                  <c:v>Juli 2033</c:v>
                </c:pt>
                <c:pt idx="103">
                  <c:v>August 2033</c:v>
                </c:pt>
                <c:pt idx="104">
                  <c:v>September 2033</c:v>
                </c:pt>
                <c:pt idx="105">
                  <c:v>Oktober 2033</c:v>
                </c:pt>
                <c:pt idx="106">
                  <c:v>November 2033</c:v>
                </c:pt>
                <c:pt idx="107">
                  <c:v>Desember 2033</c:v>
                </c:pt>
                <c:pt idx="108">
                  <c:v>Januar 2034</c:v>
                </c:pt>
                <c:pt idx="109">
                  <c:v>Februar 2034</c:v>
                </c:pt>
                <c:pt idx="110">
                  <c:v>Mars 2034</c:v>
                </c:pt>
                <c:pt idx="111">
                  <c:v>April 2034</c:v>
                </c:pt>
                <c:pt idx="112">
                  <c:v>Mai 2034</c:v>
                </c:pt>
                <c:pt idx="113">
                  <c:v>Juni 2034</c:v>
                </c:pt>
                <c:pt idx="114">
                  <c:v>Juli 2034</c:v>
                </c:pt>
                <c:pt idx="115">
                  <c:v>August 2034</c:v>
                </c:pt>
                <c:pt idx="116">
                  <c:v>September 2034</c:v>
                </c:pt>
                <c:pt idx="117">
                  <c:v>Oktober 2034</c:v>
                </c:pt>
                <c:pt idx="118">
                  <c:v>November 2034</c:v>
                </c:pt>
                <c:pt idx="119">
                  <c:v>Desember 2034</c:v>
                </c:pt>
                <c:pt idx="120">
                  <c:v>Januar 2035</c:v>
                </c:pt>
                <c:pt idx="121">
                  <c:v>Februar 2035</c:v>
                </c:pt>
                <c:pt idx="122">
                  <c:v>Mars 2035</c:v>
                </c:pt>
                <c:pt idx="123">
                  <c:v>April 2035</c:v>
                </c:pt>
                <c:pt idx="124">
                  <c:v>Mai 2035</c:v>
                </c:pt>
                <c:pt idx="125">
                  <c:v>Juni 2035</c:v>
                </c:pt>
                <c:pt idx="126">
                  <c:v>Juli 2035</c:v>
                </c:pt>
                <c:pt idx="127">
                  <c:v>August 2035</c:v>
                </c:pt>
                <c:pt idx="128">
                  <c:v>September 2035</c:v>
                </c:pt>
                <c:pt idx="129">
                  <c:v>Oktober 2035</c:v>
                </c:pt>
                <c:pt idx="130">
                  <c:v>November 2035</c:v>
                </c:pt>
                <c:pt idx="131">
                  <c:v>Desember 2035</c:v>
                </c:pt>
                <c:pt idx="132">
                  <c:v>Januar 2036</c:v>
                </c:pt>
                <c:pt idx="133">
                  <c:v>Februar 2036</c:v>
                </c:pt>
                <c:pt idx="134">
                  <c:v>Mars 2036</c:v>
                </c:pt>
                <c:pt idx="135">
                  <c:v>April 2036</c:v>
                </c:pt>
                <c:pt idx="136">
                  <c:v>Mai 2036</c:v>
                </c:pt>
                <c:pt idx="137">
                  <c:v>Juni 2036</c:v>
                </c:pt>
                <c:pt idx="138">
                  <c:v>Juli 2036</c:v>
                </c:pt>
                <c:pt idx="139">
                  <c:v>August 2036</c:v>
                </c:pt>
                <c:pt idx="140">
                  <c:v>September 2036</c:v>
                </c:pt>
                <c:pt idx="141">
                  <c:v>Oktober 2036</c:v>
                </c:pt>
                <c:pt idx="142">
                  <c:v>November 2036</c:v>
                </c:pt>
                <c:pt idx="143">
                  <c:v>Desember 2036</c:v>
                </c:pt>
                <c:pt idx="144">
                  <c:v>Januar 2037</c:v>
                </c:pt>
                <c:pt idx="145">
                  <c:v>Februar 2037</c:v>
                </c:pt>
                <c:pt idx="146">
                  <c:v>Mars 2037</c:v>
                </c:pt>
                <c:pt idx="147">
                  <c:v>April 2037</c:v>
                </c:pt>
                <c:pt idx="148">
                  <c:v>Mai 2037</c:v>
                </c:pt>
                <c:pt idx="149">
                  <c:v>Juni 2037</c:v>
                </c:pt>
                <c:pt idx="150">
                  <c:v>Juli 2037</c:v>
                </c:pt>
                <c:pt idx="151">
                  <c:v>August 2037</c:v>
                </c:pt>
                <c:pt idx="152">
                  <c:v>September 2037</c:v>
                </c:pt>
                <c:pt idx="153">
                  <c:v>Oktober 2037</c:v>
                </c:pt>
                <c:pt idx="154">
                  <c:v>November 2037</c:v>
                </c:pt>
                <c:pt idx="155">
                  <c:v>Desember 2037</c:v>
                </c:pt>
                <c:pt idx="156">
                  <c:v>Januar 2038</c:v>
                </c:pt>
                <c:pt idx="157">
                  <c:v>Februar 2038</c:v>
                </c:pt>
                <c:pt idx="158">
                  <c:v>Mars 2038</c:v>
                </c:pt>
                <c:pt idx="159">
                  <c:v>April 2038</c:v>
                </c:pt>
                <c:pt idx="160">
                  <c:v>Mai 2038</c:v>
                </c:pt>
                <c:pt idx="161">
                  <c:v>Juni 2038</c:v>
                </c:pt>
                <c:pt idx="162">
                  <c:v>Juli 2038</c:v>
                </c:pt>
                <c:pt idx="163">
                  <c:v>August 2038</c:v>
                </c:pt>
                <c:pt idx="164">
                  <c:v>September 2038</c:v>
                </c:pt>
                <c:pt idx="165">
                  <c:v>Oktober 2038</c:v>
                </c:pt>
                <c:pt idx="166">
                  <c:v>November 2038</c:v>
                </c:pt>
                <c:pt idx="167">
                  <c:v>Desember 2038</c:v>
                </c:pt>
                <c:pt idx="168">
                  <c:v>Januar 2039</c:v>
                </c:pt>
                <c:pt idx="169">
                  <c:v>Februar 2039</c:v>
                </c:pt>
                <c:pt idx="170">
                  <c:v>Mars 2039</c:v>
                </c:pt>
                <c:pt idx="171">
                  <c:v>April 2039</c:v>
                </c:pt>
                <c:pt idx="172">
                  <c:v>Mai 2039</c:v>
                </c:pt>
                <c:pt idx="173">
                  <c:v>Juni 2039</c:v>
                </c:pt>
                <c:pt idx="174">
                  <c:v>Juli 2039</c:v>
                </c:pt>
                <c:pt idx="175">
                  <c:v>August 2039</c:v>
                </c:pt>
                <c:pt idx="176">
                  <c:v>September 2039</c:v>
                </c:pt>
                <c:pt idx="177">
                  <c:v>Oktober 2039</c:v>
                </c:pt>
                <c:pt idx="178">
                  <c:v>November 2039</c:v>
                </c:pt>
                <c:pt idx="179">
                  <c:v>Desember 2039</c:v>
                </c:pt>
                <c:pt idx="180">
                  <c:v>Januar 2040</c:v>
                </c:pt>
                <c:pt idx="181">
                  <c:v>Februar 2040</c:v>
                </c:pt>
                <c:pt idx="182">
                  <c:v>Mars 2040</c:v>
                </c:pt>
                <c:pt idx="183">
                  <c:v>April 2040</c:v>
                </c:pt>
                <c:pt idx="184">
                  <c:v>Mai 2040</c:v>
                </c:pt>
                <c:pt idx="185">
                  <c:v>Juni 2040</c:v>
                </c:pt>
                <c:pt idx="186">
                  <c:v>Juli 2040</c:v>
                </c:pt>
                <c:pt idx="187">
                  <c:v>August 2040</c:v>
                </c:pt>
                <c:pt idx="188">
                  <c:v>September 2040</c:v>
                </c:pt>
                <c:pt idx="189">
                  <c:v>Oktober 2040</c:v>
                </c:pt>
                <c:pt idx="190">
                  <c:v>November 2040</c:v>
                </c:pt>
                <c:pt idx="191">
                  <c:v>Desember 2040</c:v>
                </c:pt>
                <c:pt idx="192">
                  <c:v>Januar 2041</c:v>
                </c:pt>
                <c:pt idx="193">
                  <c:v>Februar 2041</c:v>
                </c:pt>
                <c:pt idx="194">
                  <c:v>Mars 2041</c:v>
                </c:pt>
                <c:pt idx="195">
                  <c:v>April 2041</c:v>
                </c:pt>
                <c:pt idx="196">
                  <c:v>Mai 2041</c:v>
                </c:pt>
                <c:pt idx="197">
                  <c:v>Juni 2041</c:v>
                </c:pt>
                <c:pt idx="198">
                  <c:v>Juli 2041</c:v>
                </c:pt>
                <c:pt idx="199">
                  <c:v>August 2041</c:v>
                </c:pt>
                <c:pt idx="200">
                  <c:v>September 2041</c:v>
                </c:pt>
                <c:pt idx="201">
                  <c:v>Oktober 2041</c:v>
                </c:pt>
                <c:pt idx="202">
                  <c:v>November 2041</c:v>
                </c:pt>
                <c:pt idx="203">
                  <c:v>Desember 2041</c:v>
                </c:pt>
                <c:pt idx="204">
                  <c:v>Januar 2042</c:v>
                </c:pt>
                <c:pt idx="205">
                  <c:v>Februar 2042</c:v>
                </c:pt>
                <c:pt idx="206">
                  <c:v>Mars 2042</c:v>
                </c:pt>
                <c:pt idx="207">
                  <c:v>April 2042</c:v>
                </c:pt>
                <c:pt idx="208">
                  <c:v>Mai 2042</c:v>
                </c:pt>
                <c:pt idx="209">
                  <c:v>Juni 2042</c:v>
                </c:pt>
                <c:pt idx="210">
                  <c:v>Juli 2042</c:v>
                </c:pt>
                <c:pt idx="211">
                  <c:v>August 2042</c:v>
                </c:pt>
                <c:pt idx="212">
                  <c:v>September 2042</c:v>
                </c:pt>
                <c:pt idx="213">
                  <c:v>Oktober 2042</c:v>
                </c:pt>
                <c:pt idx="214">
                  <c:v>November 2042</c:v>
                </c:pt>
                <c:pt idx="215">
                  <c:v>Desember 2042</c:v>
                </c:pt>
                <c:pt idx="216">
                  <c:v>Januar 2043</c:v>
                </c:pt>
                <c:pt idx="217">
                  <c:v>Februar 2043</c:v>
                </c:pt>
                <c:pt idx="218">
                  <c:v>Mars 2043</c:v>
                </c:pt>
                <c:pt idx="219">
                  <c:v>April 2043</c:v>
                </c:pt>
                <c:pt idx="220">
                  <c:v>Mai 2043</c:v>
                </c:pt>
                <c:pt idx="221">
                  <c:v>Juni 2043</c:v>
                </c:pt>
                <c:pt idx="222">
                  <c:v>Juli 2043</c:v>
                </c:pt>
                <c:pt idx="223">
                  <c:v>August 2043</c:v>
                </c:pt>
                <c:pt idx="224">
                  <c:v>September 2043</c:v>
                </c:pt>
                <c:pt idx="225">
                  <c:v>Oktober 2043</c:v>
                </c:pt>
                <c:pt idx="226">
                  <c:v>November 2043</c:v>
                </c:pt>
                <c:pt idx="227">
                  <c:v>Desember 2043</c:v>
                </c:pt>
                <c:pt idx="228">
                  <c:v>Januar 2044</c:v>
                </c:pt>
                <c:pt idx="229">
                  <c:v>Februar 2044</c:v>
                </c:pt>
                <c:pt idx="230">
                  <c:v>Mars 2044</c:v>
                </c:pt>
                <c:pt idx="231">
                  <c:v>April 2044</c:v>
                </c:pt>
                <c:pt idx="232">
                  <c:v>Mai 2044</c:v>
                </c:pt>
                <c:pt idx="233">
                  <c:v>Juni 2044</c:v>
                </c:pt>
                <c:pt idx="234">
                  <c:v>Juli 2044</c:v>
                </c:pt>
                <c:pt idx="235">
                  <c:v>August 2044</c:v>
                </c:pt>
                <c:pt idx="236">
                  <c:v>September 2044</c:v>
                </c:pt>
                <c:pt idx="237">
                  <c:v>Oktober 2044</c:v>
                </c:pt>
                <c:pt idx="238">
                  <c:v>November 2044</c:v>
                </c:pt>
                <c:pt idx="239">
                  <c:v>Desember 2044</c:v>
                </c:pt>
                <c:pt idx="240">
                  <c:v>Januar 2045</c:v>
                </c:pt>
                <c:pt idx="241">
                  <c:v>Februar 2045</c:v>
                </c:pt>
                <c:pt idx="242">
                  <c:v>Mars 2045</c:v>
                </c:pt>
                <c:pt idx="243">
                  <c:v>April 2045</c:v>
                </c:pt>
                <c:pt idx="244">
                  <c:v>Mai 2045</c:v>
                </c:pt>
                <c:pt idx="245">
                  <c:v>Juni 2045</c:v>
                </c:pt>
                <c:pt idx="246">
                  <c:v>Juli 2045</c:v>
                </c:pt>
                <c:pt idx="247">
                  <c:v>August 2045</c:v>
                </c:pt>
                <c:pt idx="248">
                  <c:v>September 2045</c:v>
                </c:pt>
                <c:pt idx="249">
                  <c:v>Oktober 2045</c:v>
                </c:pt>
                <c:pt idx="250">
                  <c:v>November 2045</c:v>
                </c:pt>
                <c:pt idx="251">
                  <c:v>Desember 2045</c:v>
                </c:pt>
                <c:pt idx="252">
                  <c:v>Januar 2046</c:v>
                </c:pt>
                <c:pt idx="253">
                  <c:v>Februar 2046</c:v>
                </c:pt>
                <c:pt idx="254">
                  <c:v>Mars 2046</c:v>
                </c:pt>
                <c:pt idx="255">
                  <c:v>April 2046</c:v>
                </c:pt>
                <c:pt idx="256">
                  <c:v>Mai 2046</c:v>
                </c:pt>
                <c:pt idx="257">
                  <c:v>Juni 2046</c:v>
                </c:pt>
                <c:pt idx="258">
                  <c:v>Juli 2046</c:v>
                </c:pt>
                <c:pt idx="259">
                  <c:v>August 2046</c:v>
                </c:pt>
                <c:pt idx="260">
                  <c:v>September 2046</c:v>
                </c:pt>
                <c:pt idx="261">
                  <c:v>Oktober 2046</c:v>
                </c:pt>
                <c:pt idx="262">
                  <c:v>November 2046</c:v>
                </c:pt>
                <c:pt idx="263">
                  <c:v>Desember 2046</c:v>
                </c:pt>
                <c:pt idx="264">
                  <c:v>Januar 2047</c:v>
                </c:pt>
                <c:pt idx="265">
                  <c:v>Februar 2047</c:v>
                </c:pt>
                <c:pt idx="266">
                  <c:v>Mars 2047</c:v>
                </c:pt>
                <c:pt idx="267">
                  <c:v>April 2047</c:v>
                </c:pt>
                <c:pt idx="268">
                  <c:v>Mai 2047</c:v>
                </c:pt>
                <c:pt idx="269">
                  <c:v>Juni 2047</c:v>
                </c:pt>
                <c:pt idx="270">
                  <c:v>Juli 2047</c:v>
                </c:pt>
                <c:pt idx="271">
                  <c:v>August 2047</c:v>
                </c:pt>
                <c:pt idx="272">
                  <c:v>September 2047</c:v>
                </c:pt>
                <c:pt idx="273">
                  <c:v>Oktober 2047</c:v>
                </c:pt>
                <c:pt idx="274">
                  <c:v>November 2047</c:v>
                </c:pt>
                <c:pt idx="275">
                  <c:v>Desember 2047</c:v>
                </c:pt>
                <c:pt idx="276">
                  <c:v>Januar 2048</c:v>
                </c:pt>
                <c:pt idx="277">
                  <c:v>Februar 2048</c:v>
                </c:pt>
                <c:pt idx="278">
                  <c:v>Mars 2048</c:v>
                </c:pt>
                <c:pt idx="279">
                  <c:v>April 2048</c:v>
                </c:pt>
                <c:pt idx="280">
                  <c:v>Mai 2048</c:v>
                </c:pt>
                <c:pt idx="281">
                  <c:v>Juni 2048</c:v>
                </c:pt>
                <c:pt idx="282">
                  <c:v>Juli 2048</c:v>
                </c:pt>
                <c:pt idx="283">
                  <c:v>August 2048</c:v>
                </c:pt>
                <c:pt idx="284">
                  <c:v>September 2048</c:v>
                </c:pt>
                <c:pt idx="285">
                  <c:v>Oktober 2048</c:v>
                </c:pt>
                <c:pt idx="286">
                  <c:v>November 2048</c:v>
                </c:pt>
                <c:pt idx="287">
                  <c:v>Desember 2048</c:v>
                </c:pt>
                <c:pt idx="288">
                  <c:v>Januar 2049</c:v>
                </c:pt>
                <c:pt idx="289">
                  <c:v>Februar 2049</c:v>
                </c:pt>
                <c:pt idx="290">
                  <c:v>Mars 2049</c:v>
                </c:pt>
                <c:pt idx="291">
                  <c:v>April 2049</c:v>
                </c:pt>
                <c:pt idx="292">
                  <c:v>Mai 2049</c:v>
                </c:pt>
                <c:pt idx="293">
                  <c:v>Juni 2049</c:v>
                </c:pt>
                <c:pt idx="294">
                  <c:v>Juli 2049</c:v>
                </c:pt>
                <c:pt idx="295">
                  <c:v>August 2049</c:v>
                </c:pt>
                <c:pt idx="296">
                  <c:v>September 2049</c:v>
                </c:pt>
                <c:pt idx="297">
                  <c:v>Oktober 2049</c:v>
                </c:pt>
                <c:pt idx="298">
                  <c:v>November 2049</c:v>
                </c:pt>
                <c:pt idx="299">
                  <c:v>Desember 2049</c:v>
                </c:pt>
                <c:pt idx="300">
                  <c:v>Januar 2050</c:v>
                </c:pt>
                <c:pt idx="301">
                  <c:v>Februar 2050</c:v>
                </c:pt>
                <c:pt idx="302">
                  <c:v>Mars 2050</c:v>
                </c:pt>
                <c:pt idx="303">
                  <c:v>April 2050</c:v>
                </c:pt>
                <c:pt idx="304">
                  <c:v>Mai 2050</c:v>
                </c:pt>
                <c:pt idx="305">
                  <c:v>Juni 2050</c:v>
                </c:pt>
                <c:pt idx="306">
                  <c:v>Juli 2050</c:v>
                </c:pt>
                <c:pt idx="307">
                  <c:v>August 2050</c:v>
                </c:pt>
                <c:pt idx="308">
                  <c:v>September 2050</c:v>
                </c:pt>
                <c:pt idx="309">
                  <c:v>Oktober 2050</c:v>
                </c:pt>
                <c:pt idx="310">
                  <c:v>November 2050</c:v>
                </c:pt>
                <c:pt idx="311">
                  <c:v>Desember 2050</c:v>
                </c:pt>
                <c:pt idx="312">
                  <c:v>Januar 2051</c:v>
                </c:pt>
                <c:pt idx="313">
                  <c:v>Februar 2051</c:v>
                </c:pt>
                <c:pt idx="314">
                  <c:v>Mars 2051</c:v>
                </c:pt>
                <c:pt idx="315">
                  <c:v>April 2051</c:v>
                </c:pt>
                <c:pt idx="316">
                  <c:v>Mai 2051</c:v>
                </c:pt>
                <c:pt idx="317">
                  <c:v>Juni 2051</c:v>
                </c:pt>
                <c:pt idx="318">
                  <c:v>Juli 2051</c:v>
                </c:pt>
                <c:pt idx="319">
                  <c:v>August 2051</c:v>
                </c:pt>
                <c:pt idx="320">
                  <c:v>September 2051</c:v>
                </c:pt>
                <c:pt idx="321">
                  <c:v>Oktober 2051</c:v>
                </c:pt>
                <c:pt idx="322">
                  <c:v>November 2051</c:v>
                </c:pt>
                <c:pt idx="323">
                  <c:v>Desember 2051</c:v>
                </c:pt>
                <c:pt idx="324">
                  <c:v>Januar 2052</c:v>
                </c:pt>
                <c:pt idx="325">
                  <c:v>Februar 2052</c:v>
                </c:pt>
                <c:pt idx="326">
                  <c:v>Mars 2052</c:v>
                </c:pt>
                <c:pt idx="327">
                  <c:v>April 2052</c:v>
                </c:pt>
                <c:pt idx="328">
                  <c:v>Mai 2052</c:v>
                </c:pt>
                <c:pt idx="329">
                  <c:v>Juni 2052</c:v>
                </c:pt>
                <c:pt idx="330">
                  <c:v>Juli 2052</c:v>
                </c:pt>
                <c:pt idx="331">
                  <c:v>August 2052</c:v>
                </c:pt>
                <c:pt idx="332">
                  <c:v>September 2052</c:v>
                </c:pt>
                <c:pt idx="333">
                  <c:v>Oktober 2052</c:v>
                </c:pt>
                <c:pt idx="334">
                  <c:v>November 2052</c:v>
                </c:pt>
                <c:pt idx="335">
                  <c:v>Desember 2052</c:v>
                </c:pt>
                <c:pt idx="336">
                  <c:v>Januar 2053</c:v>
                </c:pt>
                <c:pt idx="337">
                  <c:v>Februar 2053</c:v>
                </c:pt>
                <c:pt idx="338">
                  <c:v>Mars 2053</c:v>
                </c:pt>
                <c:pt idx="339">
                  <c:v>April 2053</c:v>
                </c:pt>
                <c:pt idx="340">
                  <c:v>Mai 2053</c:v>
                </c:pt>
                <c:pt idx="341">
                  <c:v>Juni 2053</c:v>
                </c:pt>
                <c:pt idx="342">
                  <c:v>Juli 2053</c:v>
                </c:pt>
                <c:pt idx="343">
                  <c:v>August 2053</c:v>
                </c:pt>
                <c:pt idx="344">
                  <c:v>September 2053</c:v>
                </c:pt>
                <c:pt idx="345">
                  <c:v>Oktober 2053</c:v>
                </c:pt>
                <c:pt idx="346">
                  <c:v>November 2053</c:v>
                </c:pt>
                <c:pt idx="347">
                  <c:v>Desember 2053</c:v>
                </c:pt>
                <c:pt idx="348">
                  <c:v>Januar 2054</c:v>
                </c:pt>
                <c:pt idx="349">
                  <c:v>Februar 2054</c:v>
                </c:pt>
                <c:pt idx="350">
                  <c:v>Mars 2054</c:v>
                </c:pt>
                <c:pt idx="351">
                  <c:v>April 2054</c:v>
                </c:pt>
                <c:pt idx="352">
                  <c:v>Mai 2054</c:v>
                </c:pt>
                <c:pt idx="353">
                  <c:v>Juni 2054</c:v>
                </c:pt>
                <c:pt idx="354">
                  <c:v>Juli 2054</c:v>
                </c:pt>
                <c:pt idx="355">
                  <c:v>August 2054</c:v>
                </c:pt>
                <c:pt idx="356">
                  <c:v>September 2054</c:v>
                </c:pt>
                <c:pt idx="357">
                  <c:v>Oktober 2054</c:v>
                </c:pt>
                <c:pt idx="358">
                  <c:v>November 2054</c:v>
                </c:pt>
                <c:pt idx="359">
                  <c:v>Desember 2054</c:v>
                </c:pt>
              </c:strCache>
            </c:strRef>
          </c:cat>
          <c:val>
            <c:numRef>
              <c:f>'Dynamisk plan'!$J$18:$J$377</c:f>
              <c:numCache>
                <c:formatCode>[$kr-414]\ #,##0;\-[$kr-414]\ #,##0</c:formatCode>
                <c:ptCount val="360"/>
                <c:pt idx="0">
                  <c:v>11711.263424999999</c:v>
                </c:pt>
                <c:pt idx="1">
                  <c:v>11673.727324278845</c:v>
                </c:pt>
                <c:pt idx="2">
                  <c:v>11636.191223557695</c:v>
                </c:pt>
                <c:pt idx="3">
                  <c:v>11598.655122836541</c:v>
                </c:pt>
                <c:pt idx="4">
                  <c:v>11561.119022115387</c:v>
                </c:pt>
                <c:pt idx="5">
                  <c:v>11523.582921394234</c:v>
                </c:pt>
                <c:pt idx="6">
                  <c:v>11486.04682067308</c:v>
                </c:pt>
                <c:pt idx="7">
                  <c:v>11448.510719951928</c:v>
                </c:pt>
                <c:pt idx="8">
                  <c:v>11410.974619230774</c:v>
                </c:pt>
                <c:pt idx="9">
                  <c:v>11373.438518509623</c:v>
                </c:pt>
                <c:pt idx="10">
                  <c:v>11335.902417788469</c:v>
                </c:pt>
                <c:pt idx="11">
                  <c:v>11298.366317067315</c:v>
                </c:pt>
                <c:pt idx="12">
                  <c:v>11260.830216346163</c:v>
                </c:pt>
                <c:pt idx="13">
                  <c:v>11223.294115625009</c:v>
                </c:pt>
                <c:pt idx="14">
                  <c:v>11185.758014903857</c:v>
                </c:pt>
                <c:pt idx="15">
                  <c:v>11148.221914182703</c:v>
                </c:pt>
                <c:pt idx="16">
                  <c:v>11110.685813461549</c:v>
                </c:pt>
                <c:pt idx="17">
                  <c:v>11073.149712740398</c:v>
                </c:pt>
                <c:pt idx="18">
                  <c:v>11035.613612019244</c:v>
                </c:pt>
                <c:pt idx="19">
                  <c:v>10998.077511298092</c:v>
                </c:pt>
                <c:pt idx="20">
                  <c:v>10960.541410576938</c:v>
                </c:pt>
                <c:pt idx="21">
                  <c:v>10923.005309855784</c:v>
                </c:pt>
                <c:pt idx="22">
                  <c:v>10885.469209134631</c:v>
                </c:pt>
                <c:pt idx="23">
                  <c:v>10847.933108413479</c:v>
                </c:pt>
                <c:pt idx="24">
                  <c:v>10810.397007692325</c:v>
                </c:pt>
                <c:pt idx="25">
                  <c:v>10772.860906971173</c:v>
                </c:pt>
                <c:pt idx="26">
                  <c:v>10735.324806250019</c:v>
                </c:pt>
                <c:pt idx="27">
                  <c:v>10697.788705528867</c:v>
                </c:pt>
                <c:pt idx="28">
                  <c:v>10660.252604807714</c:v>
                </c:pt>
                <c:pt idx="29">
                  <c:v>10622.71650408656</c:v>
                </c:pt>
                <c:pt idx="30">
                  <c:v>10585.180403365406</c:v>
                </c:pt>
                <c:pt idx="31">
                  <c:v>10547.644302644254</c:v>
                </c:pt>
                <c:pt idx="32">
                  <c:v>10510.108201923102</c:v>
                </c:pt>
                <c:pt idx="33">
                  <c:v>10472.572101201948</c:v>
                </c:pt>
                <c:pt idx="34">
                  <c:v>10435.036000480795</c:v>
                </c:pt>
                <c:pt idx="35">
                  <c:v>10397.499899759641</c:v>
                </c:pt>
                <c:pt idx="36">
                  <c:v>10359.963799038489</c:v>
                </c:pt>
                <c:pt idx="37">
                  <c:v>10322.427698317335</c:v>
                </c:pt>
                <c:pt idx="38">
                  <c:v>10284.891597596183</c:v>
                </c:pt>
                <c:pt idx="39">
                  <c:v>10247.35549687503</c:v>
                </c:pt>
                <c:pt idx="40">
                  <c:v>10209.819396153876</c:v>
                </c:pt>
                <c:pt idx="41">
                  <c:v>10172.283295432722</c:v>
                </c:pt>
                <c:pt idx="42">
                  <c:v>10134.74719471157</c:v>
                </c:pt>
                <c:pt idx="43">
                  <c:v>10097.211093990418</c:v>
                </c:pt>
                <c:pt idx="44">
                  <c:v>10059.674993269264</c:v>
                </c:pt>
                <c:pt idx="45">
                  <c:v>10022.13889254811</c:v>
                </c:pt>
                <c:pt idx="46">
                  <c:v>9984.6027918269574</c:v>
                </c:pt>
                <c:pt idx="47">
                  <c:v>9947.0666911058051</c:v>
                </c:pt>
                <c:pt idx="48">
                  <c:v>9909.5305903846511</c:v>
                </c:pt>
                <c:pt idx="49">
                  <c:v>9871.9944896634988</c:v>
                </c:pt>
                <c:pt idx="50">
                  <c:v>9834.4583889423466</c:v>
                </c:pt>
                <c:pt idx="51">
                  <c:v>9796.9222882211925</c:v>
                </c:pt>
                <c:pt idx="52">
                  <c:v>9759.3861875000384</c:v>
                </c:pt>
                <c:pt idx="53">
                  <c:v>9721.8500867788862</c:v>
                </c:pt>
                <c:pt idx="54">
                  <c:v>9684.3139860577339</c:v>
                </c:pt>
                <c:pt idx="55">
                  <c:v>9646.7778853365799</c:v>
                </c:pt>
                <c:pt idx="56">
                  <c:v>9609.2417846154258</c:v>
                </c:pt>
                <c:pt idx="57">
                  <c:v>9571.7056838942717</c:v>
                </c:pt>
                <c:pt idx="58">
                  <c:v>9534.1695831731176</c:v>
                </c:pt>
                <c:pt idx="59">
                  <c:v>9496.6334824519636</c:v>
                </c:pt>
                <c:pt idx="60">
                  <c:v>9459.0973817308095</c:v>
                </c:pt>
                <c:pt idx="61">
                  <c:v>9421.5612810096554</c:v>
                </c:pt>
                <c:pt idx="62">
                  <c:v>9384.0251802885014</c:v>
                </c:pt>
                <c:pt idx="63">
                  <c:v>9346.4890795673473</c:v>
                </c:pt>
                <c:pt idx="64">
                  <c:v>9308.9529788461932</c:v>
                </c:pt>
                <c:pt idx="65">
                  <c:v>9271.4168781250391</c:v>
                </c:pt>
                <c:pt idx="66">
                  <c:v>9233.8807774038851</c:v>
                </c:pt>
                <c:pt idx="67">
                  <c:v>9196.344676682731</c:v>
                </c:pt>
                <c:pt idx="68">
                  <c:v>9158.8085759615769</c:v>
                </c:pt>
                <c:pt idx="69">
                  <c:v>9121.2724752404229</c:v>
                </c:pt>
                <c:pt idx="70">
                  <c:v>9083.7363745192688</c:v>
                </c:pt>
                <c:pt idx="71">
                  <c:v>9046.2002737981147</c:v>
                </c:pt>
                <c:pt idx="72">
                  <c:v>9008.6641730769607</c:v>
                </c:pt>
                <c:pt idx="73">
                  <c:v>8971.1280723558066</c:v>
                </c:pt>
                <c:pt idx="74">
                  <c:v>8933.5919716346525</c:v>
                </c:pt>
                <c:pt idx="75">
                  <c:v>8896.0558709134984</c:v>
                </c:pt>
                <c:pt idx="76">
                  <c:v>8858.5197701923444</c:v>
                </c:pt>
                <c:pt idx="77">
                  <c:v>8820.9836694711903</c:v>
                </c:pt>
                <c:pt idx="78">
                  <c:v>8783.4475687500362</c:v>
                </c:pt>
                <c:pt idx="79">
                  <c:v>8745.9114680288822</c:v>
                </c:pt>
                <c:pt idx="80">
                  <c:v>8708.3753673077281</c:v>
                </c:pt>
                <c:pt idx="81">
                  <c:v>8670.839266586574</c:v>
                </c:pt>
                <c:pt idx="82">
                  <c:v>8633.3031658654199</c:v>
                </c:pt>
                <c:pt idx="83">
                  <c:v>8595.7670651442659</c:v>
                </c:pt>
                <c:pt idx="84">
                  <c:v>8558.2309644231118</c:v>
                </c:pt>
                <c:pt idx="85">
                  <c:v>8520.6948637019577</c:v>
                </c:pt>
                <c:pt idx="86">
                  <c:v>8483.1587629808037</c:v>
                </c:pt>
                <c:pt idx="87">
                  <c:v>8445.6226622596496</c:v>
                </c:pt>
                <c:pt idx="88">
                  <c:v>8408.0865615384955</c:v>
                </c:pt>
                <c:pt idx="89">
                  <c:v>8370.5504608173396</c:v>
                </c:pt>
                <c:pt idx="90">
                  <c:v>8333.0143600961856</c:v>
                </c:pt>
                <c:pt idx="91">
                  <c:v>8295.4782593750315</c:v>
                </c:pt>
                <c:pt idx="92">
                  <c:v>8257.9421586538774</c:v>
                </c:pt>
                <c:pt idx="93">
                  <c:v>8220.4060579327233</c:v>
                </c:pt>
                <c:pt idx="94">
                  <c:v>8182.8699572115693</c:v>
                </c:pt>
                <c:pt idx="95">
                  <c:v>8145.3338564904152</c:v>
                </c:pt>
                <c:pt idx="96">
                  <c:v>8107.7977557692611</c:v>
                </c:pt>
                <c:pt idx="97">
                  <c:v>8070.2616550481071</c:v>
                </c:pt>
                <c:pt idx="98">
                  <c:v>8032.725554326953</c:v>
                </c:pt>
                <c:pt idx="99">
                  <c:v>7995.1894536057989</c:v>
                </c:pt>
                <c:pt idx="100">
                  <c:v>7957.6533528846448</c:v>
                </c:pt>
                <c:pt idx="101">
                  <c:v>7920.1172521634908</c:v>
                </c:pt>
                <c:pt idx="102">
                  <c:v>7882.5811514423367</c:v>
                </c:pt>
                <c:pt idx="103">
                  <c:v>7845.0450507211826</c:v>
                </c:pt>
                <c:pt idx="104">
                  <c:v>7807.5089500000286</c:v>
                </c:pt>
                <c:pt idx="105">
                  <c:v>7769.9728492788745</c:v>
                </c:pt>
                <c:pt idx="106">
                  <c:v>7732.4367485577195</c:v>
                </c:pt>
                <c:pt idx="107">
                  <c:v>7694.9006478365654</c:v>
                </c:pt>
                <c:pt idx="108">
                  <c:v>7657.3645471154114</c:v>
                </c:pt>
                <c:pt idx="109">
                  <c:v>7619.8284463942573</c:v>
                </c:pt>
                <c:pt idx="110">
                  <c:v>7582.2923456731032</c:v>
                </c:pt>
                <c:pt idx="111">
                  <c:v>7544.7562449519492</c:v>
                </c:pt>
                <c:pt idx="112">
                  <c:v>7507.2201442307951</c:v>
                </c:pt>
                <c:pt idx="113">
                  <c:v>7469.684043509641</c:v>
                </c:pt>
                <c:pt idx="114">
                  <c:v>7432.1479427884869</c:v>
                </c:pt>
                <c:pt idx="115">
                  <c:v>7394.6118420673329</c:v>
                </c:pt>
                <c:pt idx="116">
                  <c:v>7357.0757413461788</c:v>
                </c:pt>
                <c:pt idx="117">
                  <c:v>7319.5396406250247</c:v>
                </c:pt>
                <c:pt idx="118">
                  <c:v>7282.0035399038707</c:v>
                </c:pt>
                <c:pt idx="119">
                  <c:v>7244.4674391827166</c:v>
                </c:pt>
                <c:pt idx="120">
                  <c:v>7206.9313384615625</c:v>
                </c:pt>
                <c:pt idx="121">
                  <c:v>7169.3952377404084</c:v>
                </c:pt>
                <c:pt idx="122">
                  <c:v>7131.8591370192526</c:v>
                </c:pt>
                <c:pt idx="123">
                  <c:v>7094.3230362980985</c:v>
                </c:pt>
                <c:pt idx="124">
                  <c:v>7056.7869355769444</c:v>
                </c:pt>
                <c:pt idx="125">
                  <c:v>7019.2508348557903</c:v>
                </c:pt>
                <c:pt idx="126">
                  <c:v>6981.7147341346363</c:v>
                </c:pt>
                <c:pt idx="127">
                  <c:v>6944.1786334134822</c:v>
                </c:pt>
                <c:pt idx="128">
                  <c:v>6906.6425326923281</c:v>
                </c:pt>
                <c:pt idx="129">
                  <c:v>6869.1064319711741</c:v>
                </c:pt>
                <c:pt idx="130">
                  <c:v>6831.57033125002</c:v>
                </c:pt>
                <c:pt idx="131">
                  <c:v>6794.0342305288659</c:v>
                </c:pt>
                <c:pt idx="132">
                  <c:v>6756.4981298077118</c:v>
                </c:pt>
                <c:pt idx="133">
                  <c:v>6718.9620290865578</c:v>
                </c:pt>
                <c:pt idx="134">
                  <c:v>6681.4259283654037</c:v>
                </c:pt>
                <c:pt idx="135">
                  <c:v>6643.8898276442496</c:v>
                </c:pt>
                <c:pt idx="136">
                  <c:v>6606.3537269230956</c:v>
                </c:pt>
                <c:pt idx="137">
                  <c:v>6568.8176262019415</c:v>
                </c:pt>
                <c:pt idx="138">
                  <c:v>6531.2815254807865</c:v>
                </c:pt>
                <c:pt idx="139">
                  <c:v>6493.7454247596324</c:v>
                </c:pt>
                <c:pt idx="140">
                  <c:v>6456.2093240384784</c:v>
                </c:pt>
                <c:pt idx="141">
                  <c:v>6418.6732233173243</c:v>
                </c:pt>
                <c:pt idx="142">
                  <c:v>6381.1371225961702</c:v>
                </c:pt>
                <c:pt idx="143">
                  <c:v>6343.6010218750162</c:v>
                </c:pt>
                <c:pt idx="144">
                  <c:v>6306.0649211538621</c:v>
                </c:pt>
                <c:pt idx="145">
                  <c:v>6268.528820432708</c:v>
                </c:pt>
                <c:pt idx="146">
                  <c:v>6230.9927197115539</c:v>
                </c:pt>
                <c:pt idx="147">
                  <c:v>6193.4566189903999</c:v>
                </c:pt>
                <c:pt idx="148">
                  <c:v>6155.9205182692458</c:v>
                </c:pt>
                <c:pt idx="149">
                  <c:v>6118.3844175480917</c:v>
                </c:pt>
                <c:pt idx="150">
                  <c:v>6080.8483168269377</c:v>
                </c:pt>
                <c:pt idx="151">
                  <c:v>6043.3122161057836</c:v>
                </c:pt>
                <c:pt idx="152">
                  <c:v>6005.7761153846295</c:v>
                </c:pt>
                <c:pt idx="153">
                  <c:v>5968.2400146634754</c:v>
                </c:pt>
                <c:pt idx="154">
                  <c:v>5930.7039139423214</c:v>
                </c:pt>
                <c:pt idx="155">
                  <c:v>5893.1678132211664</c:v>
                </c:pt>
                <c:pt idx="156">
                  <c:v>5855.6317125000123</c:v>
                </c:pt>
                <c:pt idx="157">
                  <c:v>5818.0956117788583</c:v>
                </c:pt>
                <c:pt idx="158">
                  <c:v>5780.5595110577042</c:v>
                </c:pt>
                <c:pt idx="159">
                  <c:v>5743.0234103365501</c:v>
                </c:pt>
                <c:pt idx="160">
                  <c:v>5705.487309615396</c:v>
                </c:pt>
                <c:pt idx="161">
                  <c:v>5667.951208894242</c:v>
                </c:pt>
                <c:pt idx="162">
                  <c:v>5630.4151081730879</c:v>
                </c:pt>
                <c:pt idx="163">
                  <c:v>5592.8790074519338</c:v>
                </c:pt>
                <c:pt idx="164">
                  <c:v>5555.3429067307798</c:v>
                </c:pt>
                <c:pt idx="165">
                  <c:v>5517.8068060096257</c:v>
                </c:pt>
                <c:pt idx="166">
                  <c:v>5480.2707052884716</c:v>
                </c:pt>
                <c:pt idx="167">
                  <c:v>5442.7346045673166</c:v>
                </c:pt>
                <c:pt idx="168">
                  <c:v>5405.1985038461626</c:v>
                </c:pt>
                <c:pt idx="169">
                  <c:v>5367.6624031250085</c:v>
                </c:pt>
                <c:pt idx="170">
                  <c:v>5330.1263024038544</c:v>
                </c:pt>
                <c:pt idx="171">
                  <c:v>5292.5902016827004</c:v>
                </c:pt>
                <c:pt idx="172">
                  <c:v>5255.0541009615463</c:v>
                </c:pt>
                <c:pt idx="173">
                  <c:v>5217.5180002403922</c:v>
                </c:pt>
                <c:pt idx="174">
                  <c:v>5179.9818995192381</c:v>
                </c:pt>
                <c:pt idx="175">
                  <c:v>5142.4457987980832</c:v>
                </c:pt>
                <c:pt idx="176">
                  <c:v>5104.9096980769291</c:v>
                </c:pt>
                <c:pt idx="177">
                  <c:v>5067.373597355775</c:v>
                </c:pt>
                <c:pt idx="178">
                  <c:v>5029.8374966346209</c:v>
                </c:pt>
                <c:pt idx="179">
                  <c:v>4992.3013959134669</c:v>
                </c:pt>
                <c:pt idx="180">
                  <c:v>4954.7652951923128</c:v>
                </c:pt>
                <c:pt idx="181">
                  <c:v>4917.2291944711587</c:v>
                </c:pt>
                <c:pt idx="182">
                  <c:v>4879.6930937500047</c:v>
                </c:pt>
                <c:pt idx="183">
                  <c:v>4842.1569930288506</c:v>
                </c:pt>
                <c:pt idx="184">
                  <c:v>4804.6208923076965</c:v>
                </c:pt>
                <c:pt idx="185">
                  <c:v>4767.0847915865425</c:v>
                </c:pt>
                <c:pt idx="186">
                  <c:v>4729.5486908653893</c:v>
                </c:pt>
                <c:pt idx="187">
                  <c:v>4692.0125901442361</c:v>
                </c:pt>
                <c:pt idx="188">
                  <c:v>4654.4764894230821</c:v>
                </c:pt>
                <c:pt idx="189">
                  <c:v>4616.940388701928</c:v>
                </c:pt>
                <c:pt idx="190">
                  <c:v>4579.4042879807748</c:v>
                </c:pt>
                <c:pt idx="191">
                  <c:v>4541.8681872596217</c:v>
                </c:pt>
                <c:pt idx="192">
                  <c:v>4504.3320865384676</c:v>
                </c:pt>
                <c:pt idx="193">
                  <c:v>4466.7959858173135</c:v>
                </c:pt>
                <c:pt idx="194">
                  <c:v>4429.2598850961604</c:v>
                </c:pt>
                <c:pt idx="195">
                  <c:v>4391.7237843750072</c:v>
                </c:pt>
                <c:pt idx="196">
                  <c:v>4354.1876836538531</c:v>
                </c:pt>
                <c:pt idx="197">
                  <c:v>4316.6515829326991</c:v>
                </c:pt>
                <c:pt idx="198">
                  <c:v>4279.1154822115459</c:v>
                </c:pt>
                <c:pt idx="199">
                  <c:v>4241.5793814903927</c:v>
                </c:pt>
                <c:pt idx="200">
                  <c:v>4204.0432807692387</c:v>
                </c:pt>
                <c:pt idx="201">
                  <c:v>4166.5071800480846</c:v>
                </c:pt>
                <c:pt idx="202">
                  <c:v>4128.9710793269314</c:v>
                </c:pt>
                <c:pt idx="203">
                  <c:v>4091.4349786057778</c:v>
                </c:pt>
                <c:pt idx="204">
                  <c:v>4053.8988778846247</c:v>
                </c:pt>
                <c:pt idx="205">
                  <c:v>4016.3627771634706</c:v>
                </c:pt>
                <c:pt idx="206">
                  <c:v>3978.826676442317</c:v>
                </c:pt>
                <c:pt idx="207">
                  <c:v>3941.2905757211633</c:v>
                </c:pt>
                <c:pt idx="208">
                  <c:v>3903.7544750000102</c:v>
                </c:pt>
                <c:pt idx="209">
                  <c:v>3866.2183742788561</c:v>
                </c:pt>
                <c:pt idx="210">
                  <c:v>3828.6822735577025</c:v>
                </c:pt>
                <c:pt idx="211">
                  <c:v>3791.1461728365489</c:v>
                </c:pt>
                <c:pt idx="212">
                  <c:v>3753.6100721153957</c:v>
                </c:pt>
                <c:pt idx="213">
                  <c:v>3716.0739713942417</c:v>
                </c:pt>
                <c:pt idx="214">
                  <c:v>3678.537870673088</c:v>
                </c:pt>
                <c:pt idx="215">
                  <c:v>3641.0017699519344</c:v>
                </c:pt>
                <c:pt idx="216">
                  <c:v>3603.4656692307813</c:v>
                </c:pt>
                <c:pt idx="217">
                  <c:v>3565.9295685096272</c:v>
                </c:pt>
                <c:pt idx="218">
                  <c:v>3528.3934677884736</c:v>
                </c:pt>
                <c:pt idx="219">
                  <c:v>3490.85736706732</c:v>
                </c:pt>
                <c:pt idx="220">
                  <c:v>3453.3212663461668</c:v>
                </c:pt>
                <c:pt idx="221">
                  <c:v>3415.7851656250127</c:v>
                </c:pt>
                <c:pt idx="222">
                  <c:v>3378.2490649038591</c:v>
                </c:pt>
                <c:pt idx="223">
                  <c:v>3340.7129641827055</c:v>
                </c:pt>
                <c:pt idx="224">
                  <c:v>3303.1768634615523</c:v>
                </c:pt>
                <c:pt idx="225">
                  <c:v>3265.6407627403983</c:v>
                </c:pt>
                <c:pt idx="226">
                  <c:v>3228.1046620192446</c:v>
                </c:pt>
                <c:pt idx="227">
                  <c:v>3190.568561298091</c:v>
                </c:pt>
                <c:pt idx="228">
                  <c:v>3153.0324605769379</c:v>
                </c:pt>
                <c:pt idx="229">
                  <c:v>3115.4963598557838</c:v>
                </c:pt>
                <c:pt idx="230">
                  <c:v>3077.9602591346302</c:v>
                </c:pt>
                <c:pt idx="231">
                  <c:v>3040.4241584134766</c:v>
                </c:pt>
                <c:pt idx="232">
                  <c:v>3002.8880576923234</c:v>
                </c:pt>
                <c:pt idx="233">
                  <c:v>2965.3519569711693</c:v>
                </c:pt>
                <c:pt idx="234">
                  <c:v>2927.8158562500157</c:v>
                </c:pt>
                <c:pt idx="235">
                  <c:v>2890.2797555288621</c:v>
                </c:pt>
                <c:pt idx="236">
                  <c:v>2852.7436548077089</c:v>
                </c:pt>
                <c:pt idx="237">
                  <c:v>2815.2075540865549</c:v>
                </c:pt>
                <c:pt idx="238">
                  <c:v>2777.6714533654012</c:v>
                </c:pt>
                <c:pt idx="239">
                  <c:v>2740.1353526442476</c:v>
                </c:pt>
                <c:pt idx="240">
                  <c:v>2702.599251923094</c:v>
                </c:pt>
                <c:pt idx="241">
                  <c:v>2665.0631512019404</c:v>
                </c:pt>
                <c:pt idx="242">
                  <c:v>2627.5270504807872</c:v>
                </c:pt>
                <c:pt idx="243">
                  <c:v>2589.9909497596332</c:v>
                </c:pt>
                <c:pt idx="244">
                  <c:v>2552.45484903848</c:v>
                </c:pt>
                <c:pt idx="245">
                  <c:v>2514.9187483173259</c:v>
                </c:pt>
                <c:pt idx="246">
                  <c:v>2477.3826475961728</c:v>
                </c:pt>
                <c:pt idx="247">
                  <c:v>2439.8465468750187</c:v>
                </c:pt>
                <c:pt idx="248">
                  <c:v>2402.3104461538655</c:v>
                </c:pt>
                <c:pt idx="249">
                  <c:v>2364.7743454327115</c:v>
                </c:pt>
                <c:pt idx="250">
                  <c:v>2327.2382447115583</c:v>
                </c:pt>
                <c:pt idx="251">
                  <c:v>2289.7021439904042</c:v>
                </c:pt>
                <c:pt idx="252">
                  <c:v>2252.1660432692511</c:v>
                </c:pt>
                <c:pt idx="253">
                  <c:v>2214.629942548097</c:v>
                </c:pt>
                <c:pt idx="254">
                  <c:v>2177.0938418269438</c:v>
                </c:pt>
                <c:pt idx="255">
                  <c:v>2139.5577411057898</c:v>
                </c:pt>
                <c:pt idx="256">
                  <c:v>2102.0216403846366</c:v>
                </c:pt>
                <c:pt idx="257">
                  <c:v>2064.4855396634825</c:v>
                </c:pt>
                <c:pt idx="258">
                  <c:v>2026.9494389423292</c:v>
                </c:pt>
                <c:pt idx="259">
                  <c:v>1989.4133382211755</c:v>
                </c:pt>
                <c:pt idx="260">
                  <c:v>1951.8772375000219</c:v>
                </c:pt>
                <c:pt idx="261">
                  <c:v>1914.3411367788683</c:v>
                </c:pt>
                <c:pt idx="262">
                  <c:v>1876.8050360577147</c:v>
                </c:pt>
                <c:pt idx="263">
                  <c:v>1839.2689353365611</c:v>
                </c:pt>
                <c:pt idx="264">
                  <c:v>1801.7328346154075</c:v>
                </c:pt>
                <c:pt idx="265">
                  <c:v>1764.1967338942538</c:v>
                </c:pt>
                <c:pt idx="266">
                  <c:v>1726.6606331731002</c:v>
                </c:pt>
                <c:pt idx="267">
                  <c:v>1689.1245324519466</c:v>
                </c:pt>
                <c:pt idx="268">
                  <c:v>1651.588431730793</c:v>
                </c:pt>
                <c:pt idx="269">
                  <c:v>1614.0523310096394</c:v>
                </c:pt>
                <c:pt idx="270">
                  <c:v>1576.5162302884858</c:v>
                </c:pt>
                <c:pt idx="271">
                  <c:v>1538.9801295673321</c:v>
                </c:pt>
                <c:pt idx="272">
                  <c:v>1501.4440288461785</c:v>
                </c:pt>
                <c:pt idx="273">
                  <c:v>1463.9079281250249</c:v>
                </c:pt>
                <c:pt idx="274">
                  <c:v>1426.3718274038713</c:v>
                </c:pt>
                <c:pt idx="275">
                  <c:v>1388.8357266827177</c:v>
                </c:pt>
                <c:pt idx="276">
                  <c:v>1351.2996259615641</c:v>
                </c:pt>
                <c:pt idx="277">
                  <c:v>1313.7635252404104</c:v>
                </c:pt>
                <c:pt idx="278">
                  <c:v>1276.2274245192568</c:v>
                </c:pt>
                <c:pt idx="279">
                  <c:v>1238.6913237981032</c:v>
                </c:pt>
                <c:pt idx="280">
                  <c:v>1201.1552230769496</c:v>
                </c:pt>
                <c:pt idx="281">
                  <c:v>1163.619122355796</c:v>
                </c:pt>
                <c:pt idx="282">
                  <c:v>1126.0830216346421</c:v>
                </c:pt>
                <c:pt idx="283">
                  <c:v>1088.5469209134883</c:v>
                </c:pt>
                <c:pt idx="284">
                  <c:v>1051.0108201923347</c:v>
                </c:pt>
                <c:pt idx="285">
                  <c:v>1013.4747194711809</c:v>
                </c:pt>
                <c:pt idx="286">
                  <c:v>975.93861875002722</c:v>
                </c:pt>
                <c:pt idx="287">
                  <c:v>938.40251802887349</c:v>
                </c:pt>
                <c:pt idx="288">
                  <c:v>900.86641730771964</c:v>
                </c:pt>
                <c:pt idx="289">
                  <c:v>863.33031658656591</c:v>
                </c:pt>
                <c:pt idx="290">
                  <c:v>825.7942158654123</c:v>
                </c:pt>
                <c:pt idx="291">
                  <c:v>788.25811514425857</c:v>
                </c:pt>
                <c:pt idx="292">
                  <c:v>750.72201442310472</c:v>
                </c:pt>
                <c:pt idx="293">
                  <c:v>713.18591370195099</c:v>
                </c:pt>
                <c:pt idx="294">
                  <c:v>675.64981298079726</c:v>
                </c:pt>
                <c:pt idx="295">
                  <c:v>638.11371225964353</c:v>
                </c:pt>
                <c:pt idx="296">
                  <c:v>600.5776115384898</c:v>
                </c:pt>
                <c:pt idx="297">
                  <c:v>563.04151081733607</c:v>
                </c:pt>
                <c:pt idx="298">
                  <c:v>525.50541009618235</c:v>
                </c:pt>
                <c:pt idx="299">
                  <c:v>487.96930937502867</c:v>
                </c:pt>
                <c:pt idx="300">
                  <c:v>450.433208653875</c:v>
                </c:pt>
                <c:pt idx="301">
                  <c:v>412.89710793272138</c:v>
                </c:pt>
                <c:pt idx="302">
                  <c:v>375.36100721156771</c:v>
                </c:pt>
                <c:pt idx="303">
                  <c:v>337.82490649041398</c:v>
                </c:pt>
                <c:pt idx="304">
                  <c:v>300.28880576926031</c:v>
                </c:pt>
                <c:pt idx="305">
                  <c:v>262.75270504810663</c:v>
                </c:pt>
                <c:pt idx="306">
                  <c:v>225.21660432695296</c:v>
                </c:pt>
                <c:pt idx="307">
                  <c:v>187.68050360579926</c:v>
                </c:pt>
                <c:pt idx="308">
                  <c:v>150.14440288464561</c:v>
                </c:pt>
                <c:pt idx="309">
                  <c:v>112.6083021634919</c:v>
                </c:pt>
                <c:pt idx="310">
                  <c:v>75.072201442338212</c:v>
                </c:pt>
                <c:pt idx="311">
                  <c:v>37.536100721184518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B5-4C22-A2C2-5926294FEE39}"/>
            </c:ext>
          </c:extLst>
        </c:ser>
        <c:ser>
          <c:idx val="1"/>
          <c:order val="1"/>
          <c:tx>
            <c:strRef>
              <c:f>'Dynamisk plan'!$Y$16</c:f>
              <c:strCache>
                <c:ptCount val="1"/>
                <c:pt idx="0">
                  <c:v>Renter u/tnb</c:v>
                </c:pt>
              </c:strCache>
            </c:strRef>
          </c:tx>
          <c:spPr>
            <a:solidFill>
              <a:srgbClr val="FF420E"/>
            </a:solidFill>
            <a:ln>
              <a:solidFill>
                <a:srgbClr val="000000"/>
              </a:solidFill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'Dynamisk plan'!$A$18:$A$377</c:f>
              <c:strCache>
                <c:ptCount val="360"/>
                <c:pt idx="0">
                  <c:v>Januar 2025</c:v>
                </c:pt>
                <c:pt idx="1">
                  <c:v>Februar 2025</c:v>
                </c:pt>
                <c:pt idx="2">
                  <c:v>Mars 2025</c:v>
                </c:pt>
                <c:pt idx="3">
                  <c:v>April 2025</c:v>
                </c:pt>
                <c:pt idx="4">
                  <c:v>Mai 2025</c:v>
                </c:pt>
                <c:pt idx="5">
                  <c:v>Juni 2025</c:v>
                </c:pt>
                <c:pt idx="6">
                  <c:v>Juli 2025</c:v>
                </c:pt>
                <c:pt idx="7">
                  <c:v>August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Desember 2025</c:v>
                </c:pt>
                <c:pt idx="12">
                  <c:v>Januar 2026</c:v>
                </c:pt>
                <c:pt idx="13">
                  <c:v>Februar 2026</c:v>
                </c:pt>
                <c:pt idx="14">
                  <c:v>Mars 2026</c:v>
                </c:pt>
                <c:pt idx="15">
                  <c:v>April 2026</c:v>
                </c:pt>
                <c:pt idx="16">
                  <c:v>Mai 2026</c:v>
                </c:pt>
                <c:pt idx="17">
                  <c:v>Juni 2026</c:v>
                </c:pt>
                <c:pt idx="18">
                  <c:v>Juli 2026</c:v>
                </c:pt>
                <c:pt idx="19">
                  <c:v>August 2026</c:v>
                </c:pt>
                <c:pt idx="20">
                  <c:v>September 2026</c:v>
                </c:pt>
                <c:pt idx="21">
                  <c:v>Oktober 2026</c:v>
                </c:pt>
                <c:pt idx="22">
                  <c:v>November 2026</c:v>
                </c:pt>
                <c:pt idx="23">
                  <c:v>Desember 2026</c:v>
                </c:pt>
                <c:pt idx="24">
                  <c:v>Januar 2027</c:v>
                </c:pt>
                <c:pt idx="25">
                  <c:v>Februar 2027</c:v>
                </c:pt>
                <c:pt idx="26">
                  <c:v>Mars 2027</c:v>
                </c:pt>
                <c:pt idx="27">
                  <c:v>April 2027</c:v>
                </c:pt>
                <c:pt idx="28">
                  <c:v>Mai 2027</c:v>
                </c:pt>
                <c:pt idx="29">
                  <c:v>Juni 2027</c:v>
                </c:pt>
                <c:pt idx="30">
                  <c:v>Juli 2027</c:v>
                </c:pt>
                <c:pt idx="31">
                  <c:v>August 2027</c:v>
                </c:pt>
                <c:pt idx="32">
                  <c:v>September 2027</c:v>
                </c:pt>
                <c:pt idx="33">
                  <c:v>Oktober 2027</c:v>
                </c:pt>
                <c:pt idx="34">
                  <c:v>November 2027</c:v>
                </c:pt>
                <c:pt idx="35">
                  <c:v>Desember 2027</c:v>
                </c:pt>
                <c:pt idx="36">
                  <c:v>Januar 2028</c:v>
                </c:pt>
                <c:pt idx="37">
                  <c:v>Februar 2028</c:v>
                </c:pt>
                <c:pt idx="38">
                  <c:v>Mars 2028</c:v>
                </c:pt>
                <c:pt idx="39">
                  <c:v>April 2028</c:v>
                </c:pt>
                <c:pt idx="40">
                  <c:v>Mai 2028</c:v>
                </c:pt>
                <c:pt idx="41">
                  <c:v>Juni 2028</c:v>
                </c:pt>
                <c:pt idx="42">
                  <c:v>Juli 2028</c:v>
                </c:pt>
                <c:pt idx="43">
                  <c:v>August 2028</c:v>
                </c:pt>
                <c:pt idx="44">
                  <c:v>September 2028</c:v>
                </c:pt>
                <c:pt idx="45">
                  <c:v>Oktober 2028</c:v>
                </c:pt>
                <c:pt idx="46">
                  <c:v>November 2028</c:v>
                </c:pt>
                <c:pt idx="47">
                  <c:v>Desember 2028</c:v>
                </c:pt>
                <c:pt idx="48">
                  <c:v>Januar 2029</c:v>
                </c:pt>
                <c:pt idx="49">
                  <c:v>Februar 2029</c:v>
                </c:pt>
                <c:pt idx="50">
                  <c:v>Mars 2029</c:v>
                </c:pt>
                <c:pt idx="51">
                  <c:v>April 2029</c:v>
                </c:pt>
                <c:pt idx="52">
                  <c:v>Mai 2029</c:v>
                </c:pt>
                <c:pt idx="53">
                  <c:v>Juni 2029</c:v>
                </c:pt>
                <c:pt idx="54">
                  <c:v>Juli 2029</c:v>
                </c:pt>
                <c:pt idx="55">
                  <c:v>August 2029</c:v>
                </c:pt>
                <c:pt idx="56">
                  <c:v>September 2029</c:v>
                </c:pt>
                <c:pt idx="57">
                  <c:v>Oktober 2029</c:v>
                </c:pt>
                <c:pt idx="58">
                  <c:v>November 2029</c:v>
                </c:pt>
                <c:pt idx="59">
                  <c:v>Desember 2029</c:v>
                </c:pt>
                <c:pt idx="60">
                  <c:v>Januar 2030</c:v>
                </c:pt>
                <c:pt idx="61">
                  <c:v>Februar 2030</c:v>
                </c:pt>
                <c:pt idx="62">
                  <c:v>Mars 2030</c:v>
                </c:pt>
                <c:pt idx="63">
                  <c:v>April 2030</c:v>
                </c:pt>
                <c:pt idx="64">
                  <c:v>Mai 2030</c:v>
                </c:pt>
                <c:pt idx="65">
                  <c:v>Juni 2030</c:v>
                </c:pt>
                <c:pt idx="66">
                  <c:v>Juli 2030</c:v>
                </c:pt>
                <c:pt idx="67">
                  <c:v>August 2030</c:v>
                </c:pt>
                <c:pt idx="68">
                  <c:v>September 2030</c:v>
                </c:pt>
                <c:pt idx="69">
                  <c:v>Oktober 2030</c:v>
                </c:pt>
                <c:pt idx="70">
                  <c:v>November 2030</c:v>
                </c:pt>
                <c:pt idx="71">
                  <c:v>Desember 2030</c:v>
                </c:pt>
                <c:pt idx="72">
                  <c:v>Januar 2031</c:v>
                </c:pt>
                <c:pt idx="73">
                  <c:v>Februar 2031</c:v>
                </c:pt>
                <c:pt idx="74">
                  <c:v>Mars 2031</c:v>
                </c:pt>
                <c:pt idx="75">
                  <c:v>April 2031</c:v>
                </c:pt>
                <c:pt idx="76">
                  <c:v>Mai 2031</c:v>
                </c:pt>
                <c:pt idx="77">
                  <c:v>Juni 2031</c:v>
                </c:pt>
                <c:pt idx="78">
                  <c:v>Juli 2031</c:v>
                </c:pt>
                <c:pt idx="79">
                  <c:v>August 2031</c:v>
                </c:pt>
                <c:pt idx="80">
                  <c:v>September 2031</c:v>
                </c:pt>
                <c:pt idx="81">
                  <c:v>Oktober 2031</c:v>
                </c:pt>
                <c:pt idx="82">
                  <c:v>November 2031</c:v>
                </c:pt>
                <c:pt idx="83">
                  <c:v>Desember 2031</c:v>
                </c:pt>
                <c:pt idx="84">
                  <c:v>Januar 2032</c:v>
                </c:pt>
                <c:pt idx="85">
                  <c:v>Februar 2032</c:v>
                </c:pt>
                <c:pt idx="86">
                  <c:v>Mars 2032</c:v>
                </c:pt>
                <c:pt idx="87">
                  <c:v>April 2032</c:v>
                </c:pt>
                <c:pt idx="88">
                  <c:v>Mai 2032</c:v>
                </c:pt>
                <c:pt idx="89">
                  <c:v>Juni 2032</c:v>
                </c:pt>
                <c:pt idx="90">
                  <c:v>Juli 2032</c:v>
                </c:pt>
                <c:pt idx="91">
                  <c:v>August 2032</c:v>
                </c:pt>
                <c:pt idx="92">
                  <c:v>September 2032</c:v>
                </c:pt>
                <c:pt idx="93">
                  <c:v>Oktober 2032</c:v>
                </c:pt>
                <c:pt idx="94">
                  <c:v>November 2032</c:v>
                </c:pt>
                <c:pt idx="95">
                  <c:v>Desember 2032</c:v>
                </c:pt>
                <c:pt idx="96">
                  <c:v>Januar 2033</c:v>
                </c:pt>
                <c:pt idx="97">
                  <c:v>Februar 2033</c:v>
                </c:pt>
                <c:pt idx="98">
                  <c:v>Mars 2033</c:v>
                </c:pt>
                <c:pt idx="99">
                  <c:v>April 2033</c:v>
                </c:pt>
                <c:pt idx="100">
                  <c:v>Mai 2033</c:v>
                </c:pt>
                <c:pt idx="101">
                  <c:v>Juni 2033</c:v>
                </c:pt>
                <c:pt idx="102">
                  <c:v>Juli 2033</c:v>
                </c:pt>
                <c:pt idx="103">
                  <c:v>August 2033</c:v>
                </c:pt>
                <c:pt idx="104">
                  <c:v>September 2033</c:v>
                </c:pt>
                <c:pt idx="105">
                  <c:v>Oktober 2033</c:v>
                </c:pt>
                <c:pt idx="106">
                  <c:v>November 2033</c:v>
                </c:pt>
                <c:pt idx="107">
                  <c:v>Desember 2033</c:v>
                </c:pt>
                <c:pt idx="108">
                  <c:v>Januar 2034</c:v>
                </c:pt>
                <c:pt idx="109">
                  <c:v>Februar 2034</c:v>
                </c:pt>
                <c:pt idx="110">
                  <c:v>Mars 2034</c:v>
                </c:pt>
                <c:pt idx="111">
                  <c:v>April 2034</c:v>
                </c:pt>
                <c:pt idx="112">
                  <c:v>Mai 2034</c:v>
                </c:pt>
                <c:pt idx="113">
                  <c:v>Juni 2034</c:v>
                </c:pt>
                <c:pt idx="114">
                  <c:v>Juli 2034</c:v>
                </c:pt>
                <c:pt idx="115">
                  <c:v>August 2034</c:v>
                </c:pt>
                <c:pt idx="116">
                  <c:v>September 2034</c:v>
                </c:pt>
                <c:pt idx="117">
                  <c:v>Oktober 2034</c:v>
                </c:pt>
                <c:pt idx="118">
                  <c:v>November 2034</c:v>
                </c:pt>
                <c:pt idx="119">
                  <c:v>Desember 2034</c:v>
                </c:pt>
                <c:pt idx="120">
                  <c:v>Januar 2035</c:v>
                </c:pt>
                <c:pt idx="121">
                  <c:v>Februar 2035</c:v>
                </c:pt>
                <c:pt idx="122">
                  <c:v>Mars 2035</c:v>
                </c:pt>
                <c:pt idx="123">
                  <c:v>April 2035</c:v>
                </c:pt>
                <c:pt idx="124">
                  <c:v>Mai 2035</c:v>
                </c:pt>
                <c:pt idx="125">
                  <c:v>Juni 2035</c:v>
                </c:pt>
                <c:pt idx="126">
                  <c:v>Juli 2035</c:v>
                </c:pt>
                <c:pt idx="127">
                  <c:v>August 2035</c:v>
                </c:pt>
                <c:pt idx="128">
                  <c:v>September 2035</c:v>
                </c:pt>
                <c:pt idx="129">
                  <c:v>Oktober 2035</c:v>
                </c:pt>
                <c:pt idx="130">
                  <c:v>November 2035</c:v>
                </c:pt>
                <c:pt idx="131">
                  <c:v>Desember 2035</c:v>
                </c:pt>
                <c:pt idx="132">
                  <c:v>Januar 2036</c:v>
                </c:pt>
                <c:pt idx="133">
                  <c:v>Februar 2036</c:v>
                </c:pt>
                <c:pt idx="134">
                  <c:v>Mars 2036</c:v>
                </c:pt>
                <c:pt idx="135">
                  <c:v>April 2036</c:v>
                </c:pt>
                <c:pt idx="136">
                  <c:v>Mai 2036</c:v>
                </c:pt>
                <c:pt idx="137">
                  <c:v>Juni 2036</c:v>
                </c:pt>
                <c:pt idx="138">
                  <c:v>Juli 2036</c:v>
                </c:pt>
                <c:pt idx="139">
                  <c:v>August 2036</c:v>
                </c:pt>
                <c:pt idx="140">
                  <c:v>September 2036</c:v>
                </c:pt>
                <c:pt idx="141">
                  <c:v>Oktober 2036</c:v>
                </c:pt>
                <c:pt idx="142">
                  <c:v>November 2036</c:v>
                </c:pt>
                <c:pt idx="143">
                  <c:v>Desember 2036</c:v>
                </c:pt>
                <c:pt idx="144">
                  <c:v>Januar 2037</c:v>
                </c:pt>
                <c:pt idx="145">
                  <c:v>Februar 2037</c:v>
                </c:pt>
                <c:pt idx="146">
                  <c:v>Mars 2037</c:v>
                </c:pt>
                <c:pt idx="147">
                  <c:v>April 2037</c:v>
                </c:pt>
                <c:pt idx="148">
                  <c:v>Mai 2037</c:v>
                </c:pt>
                <c:pt idx="149">
                  <c:v>Juni 2037</c:v>
                </c:pt>
                <c:pt idx="150">
                  <c:v>Juli 2037</c:v>
                </c:pt>
                <c:pt idx="151">
                  <c:v>August 2037</c:v>
                </c:pt>
                <c:pt idx="152">
                  <c:v>September 2037</c:v>
                </c:pt>
                <c:pt idx="153">
                  <c:v>Oktober 2037</c:v>
                </c:pt>
                <c:pt idx="154">
                  <c:v>November 2037</c:v>
                </c:pt>
                <c:pt idx="155">
                  <c:v>Desember 2037</c:v>
                </c:pt>
                <c:pt idx="156">
                  <c:v>Januar 2038</c:v>
                </c:pt>
                <c:pt idx="157">
                  <c:v>Februar 2038</c:v>
                </c:pt>
                <c:pt idx="158">
                  <c:v>Mars 2038</c:v>
                </c:pt>
                <c:pt idx="159">
                  <c:v>April 2038</c:v>
                </c:pt>
                <c:pt idx="160">
                  <c:v>Mai 2038</c:v>
                </c:pt>
                <c:pt idx="161">
                  <c:v>Juni 2038</c:v>
                </c:pt>
                <c:pt idx="162">
                  <c:v>Juli 2038</c:v>
                </c:pt>
                <c:pt idx="163">
                  <c:v>August 2038</c:v>
                </c:pt>
                <c:pt idx="164">
                  <c:v>September 2038</c:v>
                </c:pt>
                <c:pt idx="165">
                  <c:v>Oktober 2038</c:v>
                </c:pt>
                <c:pt idx="166">
                  <c:v>November 2038</c:v>
                </c:pt>
                <c:pt idx="167">
                  <c:v>Desember 2038</c:v>
                </c:pt>
                <c:pt idx="168">
                  <c:v>Januar 2039</c:v>
                </c:pt>
                <c:pt idx="169">
                  <c:v>Februar 2039</c:v>
                </c:pt>
                <c:pt idx="170">
                  <c:v>Mars 2039</c:v>
                </c:pt>
                <c:pt idx="171">
                  <c:v>April 2039</c:v>
                </c:pt>
                <c:pt idx="172">
                  <c:v>Mai 2039</c:v>
                </c:pt>
                <c:pt idx="173">
                  <c:v>Juni 2039</c:v>
                </c:pt>
                <c:pt idx="174">
                  <c:v>Juli 2039</c:v>
                </c:pt>
                <c:pt idx="175">
                  <c:v>August 2039</c:v>
                </c:pt>
                <c:pt idx="176">
                  <c:v>September 2039</c:v>
                </c:pt>
                <c:pt idx="177">
                  <c:v>Oktober 2039</c:v>
                </c:pt>
                <c:pt idx="178">
                  <c:v>November 2039</c:v>
                </c:pt>
                <c:pt idx="179">
                  <c:v>Desember 2039</c:v>
                </c:pt>
                <c:pt idx="180">
                  <c:v>Januar 2040</c:v>
                </c:pt>
                <c:pt idx="181">
                  <c:v>Februar 2040</c:v>
                </c:pt>
                <c:pt idx="182">
                  <c:v>Mars 2040</c:v>
                </c:pt>
                <c:pt idx="183">
                  <c:v>April 2040</c:v>
                </c:pt>
                <c:pt idx="184">
                  <c:v>Mai 2040</c:v>
                </c:pt>
                <c:pt idx="185">
                  <c:v>Juni 2040</c:v>
                </c:pt>
                <c:pt idx="186">
                  <c:v>Juli 2040</c:v>
                </c:pt>
                <c:pt idx="187">
                  <c:v>August 2040</c:v>
                </c:pt>
                <c:pt idx="188">
                  <c:v>September 2040</c:v>
                </c:pt>
                <c:pt idx="189">
                  <c:v>Oktober 2040</c:v>
                </c:pt>
                <c:pt idx="190">
                  <c:v>November 2040</c:v>
                </c:pt>
                <c:pt idx="191">
                  <c:v>Desember 2040</c:v>
                </c:pt>
                <c:pt idx="192">
                  <c:v>Januar 2041</c:v>
                </c:pt>
                <c:pt idx="193">
                  <c:v>Februar 2041</c:v>
                </c:pt>
                <c:pt idx="194">
                  <c:v>Mars 2041</c:v>
                </c:pt>
                <c:pt idx="195">
                  <c:v>April 2041</c:v>
                </c:pt>
                <c:pt idx="196">
                  <c:v>Mai 2041</c:v>
                </c:pt>
                <c:pt idx="197">
                  <c:v>Juni 2041</c:v>
                </c:pt>
                <c:pt idx="198">
                  <c:v>Juli 2041</c:v>
                </c:pt>
                <c:pt idx="199">
                  <c:v>August 2041</c:v>
                </c:pt>
                <c:pt idx="200">
                  <c:v>September 2041</c:v>
                </c:pt>
                <c:pt idx="201">
                  <c:v>Oktober 2041</c:v>
                </c:pt>
                <c:pt idx="202">
                  <c:v>November 2041</c:v>
                </c:pt>
                <c:pt idx="203">
                  <c:v>Desember 2041</c:v>
                </c:pt>
                <c:pt idx="204">
                  <c:v>Januar 2042</c:v>
                </c:pt>
                <c:pt idx="205">
                  <c:v>Februar 2042</c:v>
                </c:pt>
                <c:pt idx="206">
                  <c:v>Mars 2042</c:v>
                </c:pt>
                <c:pt idx="207">
                  <c:v>April 2042</c:v>
                </c:pt>
                <c:pt idx="208">
                  <c:v>Mai 2042</c:v>
                </c:pt>
                <c:pt idx="209">
                  <c:v>Juni 2042</c:v>
                </c:pt>
                <c:pt idx="210">
                  <c:v>Juli 2042</c:v>
                </c:pt>
                <c:pt idx="211">
                  <c:v>August 2042</c:v>
                </c:pt>
                <c:pt idx="212">
                  <c:v>September 2042</c:v>
                </c:pt>
                <c:pt idx="213">
                  <c:v>Oktober 2042</c:v>
                </c:pt>
                <c:pt idx="214">
                  <c:v>November 2042</c:v>
                </c:pt>
                <c:pt idx="215">
                  <c:v>Desember 2042</c:v>
                </c:pt>
                <c:pt idx="216">
                  <c:v>Januar 2043</c:v>
                </c:pt>
                <c:pt idx="217">
                  <c:v>Februar 2043</c:v>
                </c:pt>
                <c:pt idx="218">
                  <c:v>Mars 2043</c:v>
                </c:pt>
                <c:pt idx="219">
                  <c:v>April 2043</c:v>
                </c:pt>
                <c:pt idx="220">
                  <c:v>Mai 2043</c:v>
                </c:pt>
                <c:pt idx="221">
                  <c:v>Juni 2043</c:v>
                </c:pt>
                <c:pt idx="222">
                  <c:v>Juli 2043</c:v>
                </c:pt>
                <c:pt idx="223">
                  <c:v>August 2043</c:v>
                </c:pt>
                <c:pt idx="224">
                  <c:v>September 2043</c:v>
                </c:pt>
                <c:pt idx="225">
                  <c:v>Oktober 2043</c:v>
                </c:pt>
                <c:pt idx="226">
                  <c:v>November 2043</c:v>
                </c:pt>
                <c:pt idx="227">
                  <c:v>Desember 2043</c:v>
                </c:pt>
                <c:pt idx="228">
                  <c:v>Januar 2044</c:v>
                </c:pt>
                <c:pt idx="229">
                  <c:v>Februar 2044</c:v>
                </c:pt>
                <c:pt idx="230">
                  <c:v>Mars 2044</c:v>
                </c:pt>
                <c:pt idx="231">
                  <c:v>April 2044</c:v>
                </c:pt>
                <c:pt idx="232">
                  <c:v>Mai 2044</c:v>
                </c:pt>
                <c:pt idx="233">
                  <c:v>Juni 2044</c:v>
                </c:pt>
                <c:pt idx="234">
                  <c:v>Juli 2044</c:v>
                </c:pt>
                <c:pt idx="235">
                  <c:v>August 2044</c:v>
                </c:pt>
                <c:pt idx="236">
                  <c:v>September 2044</c:v>
                </c:pt>
                <c:pt idx="237">
                  <c:v>Oktober 2044</c:v>
                </c:pt>
                <c:pt idx="238">
                  <c:v>November 2044</c:v>
                </c:pt>
                <c:pt idx="239">
                  <c:v>Desember 2044</c:v>
                </c:pt>
                <c:pt idx="240">
                  <c:v>Januar 2045</c:v>
                </c:pt>
                <c:pt idx="241">
                  <c:v>Februar 2045</c:v>
                </c:pt>
                <c:pt idx="242">
                  <c:v>Mars 2045</c:v>
                </c:pt>
                <c:pt idx="243">
                  <c:v>April 2045</c:v>
                </c:pt>
                <c:pt idx="244">
                  <c:v>Mai 2045</c:v>
                </c:pt>
                <c:pt idx="245">
                  <c:v>Juni 2045</c:v>
                </c:pt>
                <c:pt idx="246">
                  <c:v>Juli 2045</c:v>
                </c:pt>
                <c:pt idx="247">
                  <c:v>August 2045</c:v>
                </c:pt>
                <c:pt idx="248">
                  <c:v>September 2045</c:v>
                </c:pt>
                <c:pt idx="249">
                  <c:v>Oktober 2045</c:v>
                </c:pt>
                <c:pt idx="250">
                  <c:v>November 2045</c:v>
                </c:pt>
                <c:pt idx="251">
                  <c:v>Desember 2045</c:v>
                </c:pt>
                <c:pt idx="252">
                  <c:v>Januar 2046</c:v>
                </c:pt>
                <c:pt idx="253">
                  <c:v>Februar 2046</c:v>
                </c:pt>
                <c:pt idx="254">
                  <c:v>Mars 2046</c:v>
                </c:pt>
                <c:pt idx="255">
                  <c:v>April 2046</c:v>
                </c:pt>
                <c:pt idx="256">
                  <c:v>Mai 2046</c:v>
                </c:pt>
                <c:pt idx="257">
                  <c:v>Juni 2046</c:v>
                </c:pt>
                <c:pt idx="258">
                  <c:v>Juli 2046</c:v>
                </c:pt>
                <c:pt idx="259">
                  <c:v>August 2046</c:v>
                </c:pt>
                <c:pt idx="260">
                  <c:v>September 2046</c:v>
                </c:pt>
                <c:pt idx="261">
                  <c:v>Oktober 2046</c:v>
                </c:pt>
                <c:pt idx="262">
                  <c:v>November 2046</c:v>
                </c:pt>
                <c:pt idx="263">
                  <c:v>Desember 2046</c:v>
                </c:pt>
                <c:pt idx="264">
                  <c:v>Januar 2047</c:v>
                </c:pt>
                <c:pt idx="265">
                  <c:v>Februar 2047</c:v>
                </c:pt>
                <c:pt idx="266">
                  <c:v>Mars 2047</c:v>
                </c:pt>
                <c:pt idx="267">
                  <c:v>April 2047</c:v>
                </c:pt>
                <c:pt idx="268">
                  <c:v>Mai 2047</c:v>
                </c:pt>
                <c:pt idx="269">
                  <c:v>Juni 2047</c:v>
                </c:pt>
                <c:pt idx="270">
                  <c:v>Juli 2047</c:v>
                </c:pt>
                <c:pt idx="271">
                  <c:v>August 2047</c:v>
                </c:pt>
                <c:pt idx="272">
                  <c:v>September 2047</c:v>
                </c:pt>
                <c:pt idx="273">
                  <c:v>Oktober 2047</c:v>
                </c:pt>
                <c:pt idx="274">
                  <c:v>November 2047</c:v>
                </c:pt>
                <c:pt idx="275">
                  <c:v>Desember 2047</c:v>
                </c:pt>
                <c:pt idx="276">
                  <c:v>Januar 2048</c:v>
                </c:pt>
                <c:pt idx="277">
                  <c:v>Februar 2048</c:v>
                </c:pt>
                <c:pt idx="278">
                  <c:v>Mars 2048</c:v>
                </c:pt>
                <c:pt idx="279">
                  <c:v>April 2048</c:v>
                </c:pt>
                <c:pt idx="280">
                  <c:v>Mai 2048</c:v>
                </c:pt>
                <c:pt idx="281">
                  <c:v>Juni 2048</c:v>
                </c:pt>
                <c:pt idx="282">
                  <c:v>Juli 2048</c:v>
                </c:pt>
                <c:pt idx="283">
                  <c:v>August 2048</c:v>
                </c:pt>
                <c:pt idx="284">
                  <c:v>September 2048</c:v>
                </c:pt>
                <c:pt idx="285">
                  <c:v>Oktober 2048</c:v>
                </c:pt>
                <c:pt idx="286">
                  <c:v>November 2048</c:v>
                </c:pt>
                <c:pt idx="287">
                  <c:v>Desember 2048</c:v>
                </c:pt>
                <c:pt idx="288">
                  <c:v>Januar 2049</c:v>
                </c:pt>
                <c:pt idx="289">
                  <c:v>Februar 2049</c:v>
                </c:pt>
                <c:pt idx="290">
                  <c:v>Mars 2049</c:v>
                </c:pt>
                <c:pt idx="291">
                  <c:v>April 2049</c:v>
                </c:pt>
                <c:pt idx="292">
                  <c:v>Mai 2049</c:v>
                </c:pt>
                <c:pt idx="293">
                  <c:v>Juni 2049</c:v>
                </c:pt>
                <c:pt idx="294">
                  <c:v>Juli 2049</c:v>
                </c:pt>
                <c:pt idx="295">
                  <c:v>August 2049</c:v>
                </c:pt>
                <c:pt idx="296">
                  <c:v>September 2049</c:v>
                </c:pt>
                <c:pt idx="297">
                  <c:v>Oktober 2049</c:v>
                </c:pt>
                <c:pt idx="298">
                  <c:v>November 2049</c:v>
                </c:pt>
                <c:pt idx="299">
                  <c:v>Desember 2049</c:v>
                </c:pt>
                <c:pt idx="300">
                  <c:v>Januar 2050</c:v>
                </c:pt>
                <c:pt idx="301">
                  <c:v>Februar 2050</c:v>
                </c:pt>
                <c:pt idx="302">
                  <c:v>Mars 2050</c:v>
                </c:pt>
                <c:pt idx="303">
                  <c:v>April 2050</c:v>
                </c:pt>
                <c:pt idx="304">
                  <c:v>Mai 2050</c:v>
                </c:pt>
                <c:pt idx="305">
                  <c:v>Juni 2050</c:v>
                </c:pt>
                <c:pt idx="306">
                  <c:v>Juli 2050</c:v>
                </c:pt>
                <c:pt idx="307">
                  <c:v>August 2050</c:v>
                </c:pt>
                <c:pt idx="308">
                  <c:v>September 2050</c:v>
                </c:pt>
                <c:pt idx="309">
                  <c:v>Oktober 2050</c:v>
                </c:pt>
                <c:pt idx="310">
                  <c:v>November 2050</c:v>
                </c:pt>
                <c:pt idx="311">
                  <c:v>Desember 2050</c:v>
                </c:pt>
                <c:pt idx="312">
                  <c:v>Januar 2051</c:v>
                </c:pt>
                <c:pt idx="313">
                  <c:v>Februar 2051</c:v>
                </c:pt>
                <c:pt idx="314">
                  <c:v>Mars 2051</c:v>
                </c:pt>
                <c:pt idx="315">
                  <c:v>April 2051</c:v>
                </c:pt>
                <c:pt idx="316">
                  <c:v>Mai 2051</c:v>
                </c:pt>
                <c:pt idx="317">
                  <c:v>Juni 2051</c:v>
                </c:pt>
                <c:pt idx="318">
                  <c:v>Juli 2051</c:v>
                </c:pt>
                <c:pt idx="319">
                  <c:v>August 2051</c:v>
                </c:pt>
                <c:pt idx="320">
                  <c:v>September 2051</c:v>
                </c:pt>
                <c:pt idx="321">
                  <c:v>Oktober 2051</c:v>
                </c:pt>
                <c:pt idx="322">
                  <c:v>November 2051</c:v>
                </c:pt>
                <c:pt idx="323">
                  <c:v>Desember 2051</c:v>
                </c:pt>
                <c:pt idx="324">
                  <c:v>Januar 2052</c:v>
                </c:pt>
                <c:pt idx="325">
                  <c:v>Februar 2052</c:v>
                </c:pt>
                <c:pt idx="326">
                  <c:v>Mars 2052</c:v>
                </c:pt>
                <c:pt idx="327">
                  <c:v>April 2052</c:v>
                </c:pt>
                <c:pt idx="328">
                  <c:v>Mai 2052</c:v>
                </c:pt>
                <c:pt idx="329">
                  <c:v>Juni 2052</c:v>
                </c:pt>
                <c:pt idx="330">
                  <c:v>Juli 2052</c:v>
                </c:pt>
                <c:pt idx="331">
                  <c:v>August 2052</c:v>
                </c:pt>
                <c:pt idx="332">
                  <c:v>September 2052</c:v>
                </c:pt>
                <c:pt idx="333">
                  <c:v>Oktober 2052</c:v>
                </c:pt>
                <c:pt idx="334">
                  <c:v>November 2052</c:v>
                </c:pt>
                <c:pt idx="335">
                  <c:v>Desember 2052</c:v>
                </c:pt>
                <c:pt idx="336">
                  <c:v>Januar 2053</c:v>
                </c:pt>
                <c:pt idx="337">
                  <c:v>Februar 2053</c:v>
                </c:pt>
                <c:pt idx="338">
                  <c:v>Mars 2053</c:v>
                </c:pt>
                <c:pt idx="339">
                  <c:v>April 2053</c:v>
                </c:pt>
                <c:pt idx="340">
                  <c:v>Mai 2053</c:v>
                </c:pt>
                <c:pt idx="341">
                  <c:v>Juni 2053</c:v>
                </c:pt>
                <c:pt idx="342">
                  <c:v>Juli 2053</c:v>
                </c:pt>
                <c:pt idx="343">
                  <c:v>August 2053</c:v>
                </c:pt>
                <c:pt idx="344">
                  <c:v>September 2053</c:v>
                </c:pt>
                <c:pt idx="345">
                  <c:v>Oktober 2053</c:v>
                </c:pt>
                <c:pt idx="346">
                  <c:v>November 2053</c:v>
                </c:pt>
                <c:pt idx="347">
                  <c:v>Desember 2053</c:v>
                </c:pt>
                <c:pt idx="348">
                  <c:v>Januar 2054</c:v>
                </c:pt>
                <c:pt idx="349">
                  <c:v>Februar 2054</c:v>
                </c:pt>
                <c:pt idx="350">
                  <c:v>Mars 2054</c:v>
                </c:pt>
                <c:pt idx="351">
                  <c:v>April 2054</c:v>
                </c:pt>
                <c:pt idx="352">
                  <c:v>Mai 2054</c:v>
                </c:pt>
                <c:pt idx="353">
                  <c:v>Juni 2054</c:v>
                </c:pt>
                <c:pt idx="354">
                  <c:v>Juli 2054</c:v>
                </c:pt>
                <c:pt idx="355">
                  <c:v>August 2054</c:v>
                </c:pt>
                <c:pt idx="356">
                  <c:v>September 2054</c:v>
                </c:pt>
                <c:pt idx="357">
                  <c:v>Oktober 2054</c:v>
                </c:pt>
                <c:pt idx="358">
                  <c:v>November 2054</c:v>
                </c:pt>
                <c:pt idx="359">
                  <c:v>Desember 2054</c:v>
                </c:pt>
              </c:strCache>
            </c:strRef>
          </c:cat>
          <c:val>
            <c:numRef>
              <c:f>'Dynamisk plan'!$Y$18:$Y$377</c:f>
              <c:numCache>
                <c:formatCode>[$kr-414]\ #,##0;\-[$kr-414]\ #,##0</c:formatCode>
                <c:ptCount val="360"/>
                <c:pt idx="0">
                  <c:v>11711.263424999999</c:v>
                </c:pt>
                <c:pt idx="1">
                  <c:v>11673.727324278845</c:v>
                </c:pt>
                <c:pt idx="2">
                  <c:v>11636.191223557695</c:v>
                </c:pt>
                <c:pt idx="3">
                  <c:v>11598.655122836537</c:v>
                </c:pt>
                <c:pt idx="4">
                  <c:v>11561.119022115387</c:v>
                </c:pt>
                <c:pt idx="5">
                  <c:v>11523.582921394232</c:v>
                </c:pt>
                <c:pt idx="6">
                  <c:v>11486.046820673078</c:v>
                </c:pt>
                <c:pt idx="7">
                  <c:v>11448.510719951924</c:v>
                </c:pt>
                <c:pt idx="8">
                  <c:v>11410.974619230767</c:v>
                </c:pt>
                <c:pt idx="9">
                  <c:v>11373.438518509616</c:v>
                </c:pt>
                <c:pt idx="10">
                  <c:v>11335.902417788462</c:v>
                </c:pt>
                <c:pt idx="11">
                  <c:v>11298.366317067308</c:v>
                </c:pt>
                <c:pt idx="12">
                  <c:v>11260.830216346154</c:v>
                </c:pt>
                <c:pt idx="13">
                  <c:v>11223.294115625002</c:v>
                </c:pt>
                <c:pt idx="14">
                  <c:v>11185.758014903846</c:v>
                </c:pt>
                <c:pt idx="15">
                  <c:v>11148.221914182694</c:v>
                </c:pt>
                <c:pt idx="16">
                  <c:v>11110.68581346154</c:v>
                </c:pt>
                <c:pt idx="17">
                  <c:v>11073.149712740385</c:v>
                </c:pt>
                <c:pt idx="18">
                  <c:v>11035.613612019231</c:v>
                </c:pt>
                <c:pt idx="19">
                  <c:v>10998.077511298077</c:v>
                </c:pt>
                <c:pt idx="20">
                  <c:v>10960.541410576923</c:v>
                </c:pt>
                <c:pt idx="21">
                  <c:v>10923.005309855769</c:v>
                </c:pt>
                <c:pt idx="22">
                  <c:v>10885.469209134615</c:v>
                </c:pt>
                <c:pt idx="23">
                  <c:v>10847.933108413461</c:v>
                </c:pt>
                <c:pt idx="24">
                  <c:v>10810.397007692309</c:v>
                </c:pt>
                <c:pt idx="25">
                  <c:v>10772.860906971153</c:v>
                </c:pt>
                <c:pt idx="26">
                  <c:v>10735.324806250001</c:v>
                </c:pt>
                <c:pt idx="27">
                  <c:v>10697.788705528847</c:v>
                </c:pt>
                <c:pt idx="28">
                  <c:v>10660.252604807692</c:v>
                </c:pt>
                <c:pt idx="29">
                  <c:v>10622.716504086538</c:v>
                </c:pt>
                <c:pt idx="30">
                  <c:v>10585.180403365386</c:v>
                </c:pt>
                <c:pt idx="31">
                  <c:v>10547.64430264423</c:v>
                </c:pt>
                <c:pt idx="32">
                  <c:v>10510.108201923078</c:v>
                </c:pt>
                <c:pt idx="33">
                  <c:v>10472.572101201922</c:v>
                </c:pt>
                <c:pt idx="34">
                  <c:v>10435.036000480768</c:v>
                </c:pt>
                <c:pt idx="35">
                  <c:v>10397.499899759616</c:v>
                </c:pt>
                <c:pt idx="36">
                  <c:v>10359.96379903846</c:v>
                </c:pt>
                <c:pt idx="37">
                  <c:v>10322.427698317308</c:v>
                </c:pt>
                <c:pt idx="38">
                  <c:v>10284.891597596155</c:v>
                </c:pt>
                <c:pt idx="39">
                  <c:v>10247.355496875</c:v>
                </c:pt>
                <c:pt idx="40">
                  <c:v>10209.819396153847</c:v>
                </c:pt>
                <c:pt idx="41">
                  <c:v>10172.283295432693</c:v>
                </c:pt>
                <c:pt idx="42">
                  <c:v>10134.747194711539</c:v>
                </c:pt>
                <c:pt idx="43">
                  <c:v>10097.211093990385</c:v>
                </c:pt>
                <c:pt idx="44">
                  <c:v>10059.674993269231</c:v>
                </c:pt>
                <c:pt idx="45">
                  <c:v>10022.138892548077</c:v>
                </c:pt>
                <c:pt idx="46">
                  <c:v>9984.6027918269228</c:v>
                </c:pt>
                <c:pt idx="47">
                  <c:v>9947.0666911057688</c:v>
                </c:pt>
                <c:pt idx="48">
                  <c:v>9909.5305903846147</c:v>
                </c:pt>
                <c:pt idx="49">
                  <c:v>9871.9944896634624</c:v>
                </c:pt>
                <c:pt idx="50">
                  <c:v>9834.4583889423066</c:v>
                </c:pt>
                <c:pt idx="51">
                  <c:v>9796.9222882211543</c:v>
                </c:pt>
                <c:pt idx="52">
                  <c:v>9759.3861875000021</c:v>
                </c:pt>
                <c:pt idx="53">
                  <c:v>9721.8500867788462</c:v>
                </c:pt>
                <c:pt idx="54">
                  <c:v>9684.3139860576921</c:v>
                </c:pt>
                <c:pt idx="55">
                  <c:v>9646.7778853365398</c:v>
                </c:pt>
                <c:pt idx="56">
                  <c:v>9609.2417846153839</c:v>
                </c:pt>
                <c:pt idx="57">
                  <c:v>9571.7056838942317</c:v>
                </c:pt>
                <c:pt idx="58">
                  <c:v>9534.1695831730776</c:v>
                </c:pt>
                <c:pt idx="59">
                  <c:v>9496.6334824519236</c:v>
                </c:pt>
                <c:pt idx="60">
                  <c:v>9459.0973817307713</c:v>
                </c:pt>
                <c:pt idx="61">
                  <c:v>9421.5612810096172</c:v>
                </c:pt>
                <c:pt idx="62">
                  <c:v>9384.0251802884632</c:v>
                </c:pt>
                <c:pt idx="63">
                  <c:v>9346.4890795673091</c:v>
                </c:pt>
                <c:pt idx="64">
                  <c:v>9308.952978846155</c:v>
                </c:pt>
                <c:pt idx="65">
                  <c:v>9271.4168781250009</c:v>
                </c:pt>
                <c:pt idx="66">
                  <c:v>9233.8807774038469</c:v>
                </c:pt>
                <c:pt idx="67">
                  <c:v>9196.3446766826946</c:v>
                </c:pt>
                <c:pt idx="68">
                  <c:v>9158.8085759615406</c:v>
                </c:pt>
                <c:pt idx="69">
                  <c:v>9121.2724752403865</c:v>
                </c:pt>
                <c:pt idx="70">
                  <c:v>9083.7363745192324</c:v>
                </c:pt>
                <c:pt idx="71">
                  <c:v>9046.2002737980783</c:v>
                </c:pt>
                <c:pt idx="72">
                  <c:v>9008.6641730769243</c:v>
                </c:pt>
                <c:pt idx="73">
                  <c:v>8971.1280723557702</c:v>
                </c:pt>
                <c:pt idx="74">
                  <c:v>8933.5919716346161</c:v>
                </c:pt>
                <c:pt idx="75">
                  <c:v>8896.0558709134621</c:v>
                </c:pt>
                <c:pt idx="76">
                  <c:v>8858.519770192308</c:v>
                </c:pt>
                <c:pt idx="77">
                  <c:v>8820.9836694711539</c:v>
                </c:pt>
                <c:pt idx="78">
                  <c:v>8783.4475687500017</c:v>
                </c:pt>
                <c:pt idx="79">
                  <c:v>8745.9114680288476</c:v>
                </c:pt>
                <c:pt idx="80">
                  <c:v>8708.3753673076935</c:v>
                </c:pt>
                <c:pt idx="81">
                  <c:v>8670.8392665865413</c:v>
                </c:pt>
                <c:pt idx="82">
                  <c:v>8633.3031658653872</c:v>
                </c:pt>
                <c:pt idx="83">
                  <c:v>8595.7670651442331</c:v>
                </c:pt>
                <c:pt idx="84">
                  <c:v>8558.2309644230791</c:v>
                </c:pt>
                <c:pt idx="85">
                  <c:v>8520.694863701925</c:v>
                </c:pt>
                <c:pt idx="86">
                  <c:v>8483.1587629807709</c:v>
                </c:pt>
                <c:pt idx="87">
                  <c:v>8445.6226622596168</c:v>
                </c:pt>
                <c:pt idx="88">
                  <c:v>8408.0865615384628</c:v>
                </c:pt>
                <c:pt idx="89">
                  <c:v>8370.5504608173087</c:v>
                </c:pt>
                <c:pt idx="90">
                  <c:v>8333.0143600961546</c:v>
                </c:pt>
                <c:pt idx="91">
                  <c:v>8295.4782593750006</c:v>
                </c:pt>
                <c:pt idx="92">
                  <c:v>8257.9421586538483</c:v>
                </c:pt>
                <c:pt idx="93">
                  <c:v>8220.4060579326942</c:v>
                </c:pt>
                <c:pt idx="94">
                  <c:v>8182.8699572115402</c:v>
                </c:pt>
                <c:pt idx="95">
                  <c:v>8145.3338564903861</c:v>
                </c:pt>
                <c:pt idx="96">
                  <c:v>8107.797755769232</c:v>
                </c:pt>
                <c:pt idx="97">
                  <c:v>8070.261655048078</c:v>
                </c:pt>
                <c:pt idx="98">
                  <c:v>8032.7255543269239</c:v>
                </c:pt>
                <c:pt idx="99">
                  <c:v>7995.1894536057707</c:v>
                </c:pt>
                <c:pt idx="100">
                  <c:v>7957.6533528846167</c:v>
                </c:pt>
                <c:pt idx="101">
                  <c:v>7920.1172521634626</c:v>
                </c:pt>
                <c:pt idx="102">
                  <c:v>7882.5811514423085</c:v>
                </c:pt>
                <c:pt idx="103">
                  <c:v>7845.0450507211563</c:v>
                </c:pt>
                <c:pt idx="104">
                  <c:v>7807.5089500000022</c:v>
                </c:pt>
                <c:pt idx="105">
                  <c:v>7769.9728492788481</c:v>
                </c:pt>
                <c:pt idx="106">
                  <c:v>7732.436748557694</c:v>
                </c:pt>
                <c:pt idx="107">
                  <c:v>7694.90064783654</c:v>
                </c:pt>
                <c:pt idx="108">
                  <c:v>7657.3645471153859</c:v>
                </c:pt>
                <c:pt idx="109">
                  <c:v>7619.8284463942318</c:v>
                </c:pt>
                <c:pt idx="110">
                  <c:v>7582.2923456730787</c:v>
                </c:pt>
                <c:pt idx="111">
                  <c:v>7544.7562449519246</c:v>
                </c:pt>
                <c:pt idx="112">
                  <c:v>7507.2201442307705</c:v>
                </c:pt>
                <c:pt idx="113">
                  <c:v>7469.6840435096174</c:v>
                </c:pt>
                <c:pt idx="114">
                  <c:v>7432.1479427884633</c:v>
                </c:pt>
                <c:pt idx="115">
                  <c:v>7394.6118420673092</c:v>
                </c:pt>
                <c:pt idx="116">
                  <c:v>7357.0757413461552</c:v>
                </c:pt>
                <c:pt idx="117">
                  <c:v>7319.5396406250011</c:v>
                </c:pt>
                <c:pt idx="118">
                  <c:v>7282.003539903847</c:v>
                </c:pt>
                <c:pt idx="119">
                  <c:v>7244.4674391826929</c:v>
                </c:pt>
                <c:pt idx="120">
                  <c:v>7206.9313384615407</c:v>
                </c:pt>
                <c:pt idx="121">
                  <c:v>7169.3952377403866</c:v>
                </c:pt>
                <c:pt idx="122">
                  <c:v>7131.8591370192325</c:v>
                </c:pt>
                <c:pt idx="123">
                  <c:v>7094.3230362980785</c:v>
                </c:pt>
                <c:pt idx="124">
                  <c:v>7056.7869355769253</c:v>
                </c:pt>
                <c:pt idx="125">
                  <c:v>7019.2508348557712</c:v>
                </c:pt>
                <c:pt idx="126">
                  <c:v>6981.7147341346172</c:v>
                </c:pt>
                <c:pt idx="127">
                  <c:v>6944.1786334134631</c:v>
                </c:pt>
                <c:pt idx="128">
                  <c:v>6906.642532692309</c:v>
                </c:pt>
                <c:pt idx="129">
                  <c:v>6869.106431971155</c:v>
                </c:pt>
                <c:pt idx="130">
                  <c:v>6831.5703312500009</c:v>
                </c:pt>
                <c:pt idx="131">
                  <c:v>6794.0342305288477</c:v>
                </c:pt>
                <c:pt idx="132">
                  <c:v>6756.4981298076937</c:v>
                </c:pt>
                <c:pt idx="133">
                  <c:v>6718.9620290865396</c:v>
                </c:pt>
                <c:pt idx="134">
                  <c:v>6681.4259283653855</c:v>
                </c:pt>
                <c:pt idx="135">
                  <c:v>6643.8898276442333</c:v>
                </c:pt>
                <c:pt idx="136">
                  <c:v>6606.3537269230792</c:v>
                </c:pt>
                <c:pt idx="137">
                  <c:v>6568.8176262019251</c:v>
                </c:pt>
                <c:pt idx="138">
                  <c:v>6531.2815254807711</c:v>
                </c:pt>
                <c:pt idx="139">
                  <c:v>6493.745424759617</c:v>
                </c:pt>
                <c:pt idx="140">
                  <c:v>6456.2093240384629</c:v>
                </c:pt>
                <c:pt idx="141">
                  <c:v>6418.6732233173088</c:v>
                </c:pt>
                <c:pt idx="142">
                  <c:v>6381.1371225961557</c:v>
                </c:pt>
                <c:pt idx="143">
                  <c:v>6343.6010218750016</c:v>
                </c:pt>
                <c:pt idx="144">
                  <c:v>6306.0649211538475</c:v>
                </c:pt>
                <c:pt idx="145">
                  <c:v>6268.5288204326944</c:v>
                </c:pt>
                <c:pt idx="146">
                  <c:v>6230.9927197115403</c:v>
                </c:pt>
                <c:pt idx="147">
                  <c:v>6193.4566189903862</c:v>
                </c:pt>
                <c:pt idx="148">
                  <c:v>6155.9205182692313</c:v>
                </c:pt>
                <c:pt idx="149">
                  <c:v>6118.3844175480781</c:v>
                </c:pt>
                <c:pt idx="150">
                  <c:v>6080.848316826924</c:v>
                </c:pt>
                <c:pt idx="151">
                  <c:v>6043.3122161057699</c:v>
                </c:pt>
                <c:pt idx="152">
                  <c:v>6005.7761153846177</c:v>
                </c:pt>
                <c:pt idx="153">
                  <c:v>5968.2400146634636</c:v>
                </c:pt>
                <c:pt idx="154">
                  <c:v>5930.7039139423096</c:v>
                </c:pt>
                <c:pt idx="155">
                  <c:v>5893.1678132211555</c:v>
                </c:pt>
                <c:pt idx="156">
                  <c:v>5855.6317125000023</c:v>
                </c:pt>
                <c:pt idx="157">
                  <c:v>5818.0956117788483</c:v>
                </c:pt>
                <c:pt idx="158">
                  <c:v>5780.5595110576933</c:v>
                </c:pt>
                <c:pt idx="159">
                  <c:v>5743.0234103365401</c:v>
                </c:pt>
                <c:pt idx="160">
                  <c:v>5705.487309615386</c:v>
                </c:pt>
                <c:pt idx="161">
                  <c:v>5667.951208894232</c:v>
                </c:pt>
                <c:pt idx="162">
                  <c:v>5630.4151081730779</c:v>
                </c:pt>
                <c:pt idx="163">
                  <c:v>5592.8790074519247</c:v>
                </c:pt>
                <c:pt idx="164">
                  <c:v>5555.3429067307707</c:v>
                </c:pt>
                <c:pt idx="165">
                  <c:v>5517.8068060096166</c:v>
                </c:pt>
                <c:pt idx="166">
                  <c:v>5480.2707052884643</c:v>
                </c:pt>
                <c:pt idx="167">
                  <c:v>5442.7346045673094</c:v>
                </c:pt>
                <c:pt idx="168">
                  <c:v>5405.1985038461553</c:v>
                </c:pt>
                <c:pt idx="169">
                  <c:v>5367.6624031250012</c:v>
                </c:pt>
                <c:pt idx="170">
                  <c:v>5330.1263024038481</c:v>
                </c:pt>
                <c:pt idx="171">
                  <c:v>5292.590201682694</c:v>
                </c:pt>
                <c:pt idx="172">
                  <c:v>5255.0541009615399</c:v>
                </c:pt>
                <c:pt idx="173">
                  <c:v>5217.5180002403858</c:v>
                </c:pt>
                <c:pt idx="174">
                  <c:v>5179.9818995192318</c:v>
                </c:pt>
                <c:pt idx="175">
                  <c:v>5142.4457987980777</c:v>
                </c:pt>
                <c:pt idx="176">
                  <c:v>5104.9096980769236</c:v>
                </c:pt>
                <c:pt idx="177">
                  <c:v>5067.3735973557696</c:v>
                </c:pt>
                <c:pt idx="178">
                  <c:v>5029.8374966346155</c:v>
                </c:pt>
                <c:pt idx="179">
                  <c:v>4992.3013959134614</c:v>
                </c:pt>
                <c:pt idx="180">
                  <c:v>4954.7652951923073</c:v>
                </c:pt>
                <c:pt idx="181">
                  <c:v>4917.2291944711551</c:v>
                </c:pt>
                <c:pt idx="182">
                  <c:v>4879.693093750001</c:v>
                </c:pt>
                <c:pt idx="183">
                  <c:v>4842.156993028846</c:v>
                </c:pt>
                <c:pt idx="184">
                  <c:v>4804.6208923076929</c:v>
                </c:pt>
                <c:pt idx="185">
                  <c:v>4767.0847915865397</c:v>
                </c:pt>
                <c:pt idx="186">
                  <c:v>4729.5486908653857</c:v>
                </c:pt>
                <c:pt idx="187">
                  <c:v>4692.0125901442325</c:v>
                </c:pt>
                <c:pt idx="188">
                  <c:v>4654.4764894230775</c:v>
                </c:pt>
                <c:pt idx="189">
                  <c:v>4616.9403887019243</c:v>
                </c:pt>
                <c:pt idx="190">
                  <c:v>4579.4042879807703</c:v>
                </c:pt>
                <c:pt idx="191">
                  <c:v>4541.8681872596162</c:v>
                </c:pt>
                <c:pt idx="192">
                  <c:v>4504.332086538463</c:v>
                </c:pt>
                <c:pt idx="193">
                  <c:v>4466.7959858173081</c:v>
                </c:pt>
                <c:pt idx="194">
                  <c:v>4429.2598850961549</c:v>
                </c:pt>
                <c:pt idx="195">
                  <c:v>4391.7237843750008</c:v>
                </c:pt>
                <c:pt idx="196">
                  <c:v>4354.1876836538477</c:v>
                </c:pt>
                <c:pt idx="197">
                  <c:v>4316.6515829326936</c:v>
                </c:pt>
                <c:pt idx="198">
                  <c:v>4279.1154822115395</c:v>
                </c:pt>
                <c:pt idx="199">
                  <c:v>4241.5793814903855</c:v>
                </c:pt>
                <c:pt idx="200">
                  <c:v>4204.0432807692314</c:v>
                </c:pt>
                <c:pt idx="201">
                  <c:v>4166.5071800480782</c:v>
                </c:pt>
                <c:pt idx="202">
                  <c:v>4128.9710793269242</c:v>
                </c:pt>
                <c:pt idx="203">
                  <c:v>4091.4349786057701</c:v>
                </c:pt>
                <c:pt idx="204">
                  <c:v>4053.898877884616</c:v>
                </c:pt>
                <c:pt idx="205">
                  <c:v>4016.3627771634624</c:v>
                </c:pt>
                <c:pt idx="206">
                  <c:v>3978.8266764423092</c:v>
                </c:pt>
                <c:pt idx="207">
                  <c:v>3941.2905757211552</c:v>
                </c:pt>
                <c:pt idx="208">
                  <c:v>3903.7544750000011</c:v>
                </c:pt>
                <c:pt idx="209">
                  <c:v>3866.218374278847</c:v>
                </c:pt>
                <c:pt idx="210">
                  <c:v>3828.6822735576934</c:v>
                </c:pt>
                <c:pt idx="211">
                  <c:v>3791.1461728365393</c:v>
                </c:pt>
                <c:pt idx="212">
                  <c:v>3753.6100721153857</c:v>
                </c:pt>
                <c:pt idx="213">
                  <c:v>3716.0739713942326</c:v>
                </c:pt>
                <c:pt idx="214">
                  <c:v>3678.5378706730776</c:v>
                </c:pt>
                <c:pt idx="215">
                  <c:v>3641.0017699519244</c:v>
                </c:pt>
                <c:pt idx="216">
                  <c:v>3603.4656692307703</c:v>
                </c:pt>
                <c:pt idx="217">
                  <c:v>3565.9295685096167</c:v>
                </c:pt>
                <c:pt idx="218">
                  <c:v>3528.3934677884627</c:v>
                </c:pt>
                <c:pt idx="219">
                  <c:v>3490.8573670673086</c:v>
                </c:pt>
                <c:pt idx="220">
                  <c:v>3453.321266346155</c:v>
                </c:pt>
                <c:pt idx="221">
                  <c:v>3415.7851656250009</c:v>
                </c:pt>
                <c:pt idx="222">
                  <c:v>3378.2490649038477</c:v>
                </c:pt>
                <c:pt idx="223">
                  <c:v>3340.7129641826937</c:v>
                </c:pt>
                <c:pt idx="224">
                  <c:v>3303.1768634615396</c:v>
                </c:pt>
                <c:pt idx="225">
                  <c:v>3265.6407627403855</c:v>
                </c:pt>
                <c:pt idx="226">
                  <c:v>3228.1046620192319</c:v>
                </c:pt>
                <c:pt idx="227">
                  <c:v>3190.5685612980778</c:v>
                </c:pt>
                <c:pt idx="228">
                  <c:v>3153.0324605769242</c:v>
                </c:pt>
                <c:pt idx="229">
                  <c:v>3115.4963598557702</c:v>
                </c:pt>
                <c:pt idx="230">
                  <c:v>3077.9602591346161</c:v>
                </c:pt>
                <c:pt idx="231">
                  <c:v>3040.4241584134629</c:v>
                </c:pt>
                <c:pt idx="232">
                  <c:v>3002.8880576923088</c:v>
                </c:pt>
                <c:pt idx="233">
                  <c:v>2965.3519569711552</c:v>
                </c:pt>
                <c:pt idx="234">
                  <c:v>2927.8158562500012</c:v>
                </c:pt>
                <c:pt idx="235">
                  <c:v>2890.2797555288471</c:v>
                </c:pt>
                <c:pt idx="236">
                  <c:v>2852.7436548076935</c:v>
                </c:pt>
                <c:pt idx="237">
                  <c:v>2815.2075540865394</c:v>
                </c:pt>
                <c:pt idx="238">
                  <c:v>2777.6714533653862</c:v>
                </c:pt>
                <c:pt idx="239">
                  <c:v>2740.1353526442322</c:v>
                </c:pt>
                <c:pt idx="240">
                  <c:v>2702.5992519230781</c:v>
                </c:pt>
                <c:pt idx="241">
                  <c:v>2665.063151201924</c:v>
                </c:pt>
                <c:pt idx="242">
                  <c:v>2627.5270504807704</c:v>
                </c:pt>
                <c:pt idx="243">
                  <c:v>2589.9909497596168</c:v>
                </c:pt>
                <c:pt idx="244">
                  <c:v>2552.4548490384627</c:v>
                </c:pt>
                <c:pt idx="245">
                  <c:v>2514.9187483173091</c:v>
                </c:pt>
                <c:pt idx="246">
                  <c:v>2477.382647596155</c:v>
                </c:pt>
                <c:pt idx="247">
                  <c:v>2439.8465468750014</c:v>
                </c:pt>
                <c:pt idx="248">
                  <c:v>2402.3104461538474</c:v>
                </c:pt>
                <c:pt idx="249">
                  <c:v>2364.7743454326933</c:v>
                </c:pt>
                <c:pt idx="250">
                  <c:v>2327.2382447115392</c:v>
                </c:pt>
                <c:pt idx="251">
                  <c:v>2289.7021439903856</c:v>
                </c:pt>
                <c:pt idx="252">
                  <c:v>2252.1660432692315</c:v>
                </c:pt>
                <c:pt idx="253">
                  <c:v>2214.6299425480779</c:v>
                </c:pt>
                <c:pt idx="254">
                  <c:v>2177.0938418269238</c:v>
                </c:pt>
                <c:pt idx="255">
                  <c:v>2139.5577411057702</c:v>
                </c:pt>
                <c:pt idx="256">
                  <c:v>2102.0216403846166</c:v>
                </c:pt>
                <c:pt idx="257">
                  <c:v>2064.4855396634625</c:v>
                </c:pt>
                <c:pt idx="258">
                  <c:v>2026.9494389423087</c:v>
                </c:pt>
                <c:pt idx="259">
                  <c:v>1989.4133382211548</c:v>
                </c:pt>
                <c:pt idx="260">
                  <c:v>1951.8772375000008</c:v>
                </c:pt>
                <c:pt idx="261">
                  <c:v>1914.3411367788469</c:v>
                </c:pt>
                <c:pt idx="262">
                  <c:v>1876.8050360576933</c:v>
                </c:pt>
                <c:pt idx="263">
                  <c:v>1839.2689353365395</c:v>
                </c:pt>
                <c:pt idx="264">
                  <c:v>1801.7328346153856</c:v>
                </c:pt>
                <c:pt idx="265">
                  <c:v>1764.1967338942316</c:v>
                </c:pt>
                <c:pt idx="266">
                  <c:v>1726.6606331730779</c:v>
                </c:pt>
                <c:pt idx="267">
                  <c:v>1689.1245324519241</c:v>
                </c:pt>
                <c:pt idx="268">
                  <c:v>1651.58843173077</c:v>
                </c:pt>
                <c:pt idx="269">
                  <c:v>1614.0523310096162</c:v>
                </c:pt>
                <c:pt idx="270">
                  <c:v>1576.5162302884626</c:v>
                </c:pt>
                <c:pt idx="271">
                  <c:v>1538.9801295673087</c:v>
                </c:pt>
                <c:pt idx="272">
                  <c:v>1501.4440288461549</c:v>
                </c:pt>
                <c:pt idx="273">
                  <c:v>1463.9079281250008</c:v>
                </c:pt>
                <c:pt idx="274">
                  <c:v>1426.3718274038472</c:v>
                </c:pt>
                <c:pt idx="275">
                  <c:v>1388.8357266826933</c:v>
                </c:pt>
                <c:pt idx="276">
                  <c:v>1351.2996259615395</c:v>
                </c:pt>
                <c:pt idx="277">
                  <c:v>1313.7635252403854</c:v>
                </c:pt>
                <c:pt idx="278">
                  <c:v>1276.2274245192318</c:v>
                </c:pt>
                <c:pt idx="279">
                  <c:v>1238.6913237980782</c:v>
                </c:pt>
                <c:pt idx="280">
                  <c:v>1201.1552230769244</c:v>
                </c:pt>
                <c:pt idx="281">
                  <c:v>1163.6191223557705</c:v>
                </c:pt>
                <c:pt idx="282">
                  <c:v>1126.0830216346167</c:v>
                </c:pt>
                <c:pt idx="283">
                  <c:v>1088.5469209134628</c:v>
                </c:pt>
                <c:pt idx="284">
                  <c:v>1051.010820192309</c:v>
                </c:pt>
                <c:pt idx="285">
                  <c:v>1013.474719471155</c:v>
                </c:pt>
                <c:pt idx="286">
                  <c:v>975.9386187500013</c:v>
                </c:pt>
                <c:pt idx="287">
                  <c:v>938.40251802884734</c:v>
                </c:pt>
                <c:pt idx="288">
                  <c:v>900.86641730769361</c:v>
                </c:pt>
                <c:pt idx="289">
                  <c:v>863.33031658653965</c:v>
                </c:pt>
                <c:pt idx="290">
                  <c:v>825.79421586538592</c:v>
                </c:pt>
                <c:pt idx="291">
                  <c:v>788.25811514423197</c:v>
                </c:pt>
                <c:pt idx="292">
                  <c:v>750.72201442307824</c:v>
                </c:pt>
                <c:pt idx="293">
                  <c:v>713.18591370192428</c:v>
                </c:pt>
                <c:pt idx="294">
                  <c:v>675.64981298077043</c:v>
                </c:pt>
                <c:pt idx="295">
                  <c:v>638.11371225961659</c:v>
                </c:pt>
                <c:pt idx="296">
                  <c:v>600.57761153846286</c:v>
                </c:pt>
                <c:pt idx="297">
                  <c:v>563.04151081730902</c:v>
                </c:pt>
                <c:pt idx="298">
                  <c:v>525.50541009615517</c:v>
                </c:pt>
                <c:pt idx="299">
                  <c:v>487.96930937500133</c:v>
                </c:pt>
                <c:pt idx="300">
                  <c:v>450.43320865384749</c:v>
                </c:pt>
                <c:pt idx="301">
                  <c:v>412.89710793269364</c:v>
                </c:pt>
                <c:pt idx="302">
                  <c:v>375.3610072115398</c:v>
                </c:pt>
                <c:pt idx="303">
                  <c:v>337.82490649038596</c:v>
                </c:pt>
                <c:pt idx="304">
                  <c:v>300.28880576923206</c:v>
                </c:pt>
                <c:pt idx="305">
                  <c:v>262.75270504807821</c:v>
                </c:pt>
                <c:pt idx="306">
                  <c:v>225.2166043269244</c:v>
                </c:pt>
                <c:pt idx="307">
                  <c:v>187.68050360577055</c:v>
                </c:pt>
                <c:pt idx="308">
                  <c:v>150.14440288461671</c:v>
                </c:pt>
                <c:pt idx="309">
                  <c:v>112.60830216346288</c:v>
                </c:pt>
                <c:pt idx="310">
                  <c:v>75.072201442309023</c:v>
                </c:pt>
                <c:pt idx="311">
                  <c:v>37.536100721155172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FB5-4C22-A2C2-5926294FEE3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9317968"/>
        <c:axId val="49554219"/>
        <c:axId val="69509099"/>
      </c:area3DChart>
      <c:catAx>
        <c:axId val="293179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solidFill>
              <a:srgbClr val="B3B3B3"/>
            </a:solidFill>
          </a:ln>
        </c:spPr>
        <c:txPr>
          <a:bodyPr rot="-5400000"/>
          <a:lstStyle/>
          <a:p>
            <a:pPr>
              <a:defRPr sz="800" b="0" strike="noStrike" spc="-1">
                <a:latin typeface="Arial"/>
              </a:defRPr>
            </a:pPr>
            <a:endParaRPr lang="nb-NO"/>
          </a:p>
        </c:txPr>
        <c:crossAx val="49554219"/>
        <c:crosses val="autoZero"/>
        <c:auto val="1"/>
        <c:lblAlgn val="ctr"/>
        <c:lblOffset val="100"/>
        <c:noMultiLvlLbl val="1"/>
      </c:catAx>
      <c:valAx>
        <c:axId val="49554219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[$kr-414]\ #,##0;\-[$kr-414]\ #,##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800" b="0" strike="noStrike" spc="-1">
                <a:latin typeface="Arial"/>
              </a:defRPr>
            </a:pPr>
            <a:endParaRPr lang="nb-NO"/>
          </a:p>
        </c:txPr>
        <c:crossAx val="29317968"/>
        <c:crosses val="min"/>
        <c:crossBetween val="midCat"/>
      </c:valAx>
      <c:catAx>
        <c:axId val="6950909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800" b="0" strike="noStrike" spc="-1">
                <a:latin typeface="Arial"/>
              </a:defRPr>
            </a:pPr>
            <a:endParaRPr lang="nb-NO"/>
          </a:p>
        </c:txPr>
        <c:crossAx val="49554219"/>
        <c:crosses val="autoZero"/>
        <c:auto val="1"/>
        <c:lblAlgn val="ctr"/>
        <c:lblOffset val="100"/>
        <c:noMultiLvlLbl val="1"/>
      </c:catAx>
    </c:plotArea>
    <c:legend>
      <c:legendPos val="r"/>
      <c:layout>
        <c:manualLayout>
          <c:xMode val="edge"/>
          <c:yMode val="edge"/>
          <c:x val="0.80434847268076504"/>
          <c:y val="2.7046372513932201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1552" b="0" strike="noStrike" spc="-1">
              <a:latin typeface="Arial"/>
            </a:defRPr>
          </a:pPr>
          <a:endParaRPr lang="nb-NO"/>
        </a:p>
      </c:txPr>
    </c:legend>
    <c:plotVisOnly val="0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c:style val="2"/>
  <c:chart>
    <c:autoTitleDeleted val="1"/>
    <c:view3D>
      <c:rotX val="5"/>
      <c:rotY val="5"/>
      <c:rAngAx val="1"/>
    </c:view3D>
    <c:floor>
      <c:thickness val="0"/>
      <c:spPr>
        <a:solidFill>
          <a:srgbClr val="CCCCCC"/>
        </a:solidFill>
        <a:ln>
          <a:noFill/>
        </a:ln>
      </c:spPr>
    </c:floor>
    <c:sideWall>
      <c:thickness val="0"/>
      <c:spPr>
        <a:noFill/>
        <a:ln>
          <a:solidFill>
            <a:srgbClr val="B3B3B3"/>
          </a:solidFill>
        </a:ln>
      </c:spPr>
    </c:sideWall>
    <c:backWall>
      <c:thickness val="0"/>
      <c:spPr>
        <a:noFill/>
        <a:ln>
          <a:solidFill>
            <a:srgbClr val="B3B3B3"/>
          </a:solidFill>
        </a:ln>
      </c:spPr>
    </c:backWall>
    <c:plotArea>
      <c:layout>
        <c:manualLayout>
          <c:layoutTarget val="inner"/>
          <c:xMode val="edge"/>
          <c:yMode val="edge"/>
          <c:x val="5.2556437940572902E-2"/>
          <c:y val="2.1885781966115701E-2"/>
          <c:w val="0.93495136967966497"/>
          <c:h val="0.81785879808435002"/>
        </c:manualLayout>
      </c:layout>
      <c:area3DChart>
        <c:grouping val="stacked"/>
        <c:varyColors val="1"/>
        <c:ser>
          <c:idx val="0"/>
          <c:order val="0"/>
          <c:tx>
            <c:strRef>
              <c:f>'Dynamisk plan'!$J$16</c:f>
              <c:strCache>
                <c:ptCount val="1"/>
                <c:pt idx="0">
                  <c:v>Renter</c:v>
                </c:pt>
              </c:strCache>
            </c:strRef>
          </c:tx>
          <c:spPr>
            <a:solidFill>
              <a:srgbClr val="FFD320"/>
            </a:solidFill>
            <a:ln>
              <a:solidFill>
                <a:srgbClr val="000000"/>
              </a:solidFill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'Dynamisk plan'!$A$18:$A$377</c:f>
              <c:strCache>
                <c:ptCount val="360"/>
                <c:pt idx="0">
                  <c:v>Januar 2025</c:v>
                </c:pt>
                <c:pt idx="1">
                  <c:v>Februar 2025</c:v>
                </c:pt>
                <c:pt idx="2">
                  <c:v>Mars 2025</c:v>
                </c:pt>
                <c:pt idx="3">
                  <c:v>April 2025</c:v>
                </c:pt>
                <c:pt idx="4">
                  <c:v>Mai 2025</c:v>
                </c:pt>
                <c:pt idx="5">
                  <c:v>Juni 2025</c:v>
                </c:pt>
                <c:pt idx="6">
                  <c:v>Juli 2025</c:v>
                </c:pt>
                <c:pt idx="7">
                  <c:v>August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Desember 2025</c:v>
                </c:pt>
                <c:pt idx="12">
                  <c:v>Januar 2026</c:v>
                </c:pt>
                <c:pt idx="13">
                  <c:v>Februar 2026</c:v>
                </c:pt>
                <c:pt idx="14">
                  <c:v>Mars 2026</c:v>
                </c:pt>
                <c:pt idx="15">
                  <c:v>April 2026</c:v>
                </c:pt>
                <c:pt idx="16">
                  <c:v>Mai 2026</c:v>
                </c:pt>
                <c:pt idx="17">
                  <c:v>Juni 2026</c:v>
                </c:pt>
                <c:pt idx="18">
                  <c:v>Juli 2026</c:v>
                </c:pt>
                <c:pt idx="19">
                  <c:v>August 2026</c:v>
                </c:pt>
                <c:pt idx="20">
                  <c:v>September 2026</c:v>
                </c:pt>
                <c:pt idx="21">
                  <c:v>Oktober 2026</c:v>
                </c:pt>
                <c:pt idx="22">
                  <c:v>November 2026</c:v>
                </c:pt>
                <c:pt idx="23">
                  <c:v>Desember 2026</c:v>
                </c:pt>
                <c:pt idx="24">
                  <c:v>Januar 2027</c:v>
                </c:pt>
                <c:pt idx="25">
                  <c:v>Februar 2027</c:v>
                </c:pt>
                <c:pt idx="26">
                  <c:v>Mars 2027</c:v>
                </c:pt>
                <c:pt idx="27">
                  <c:v>April 2027</c:v>
                </c:pt>
                <c:pt idx="28">
                  <c:v>Mai 2027</c:v>
                </c:pt>
                <c:pt idx="29">
                  <c:v>Juni 2027</c:v>
                </c:pt>
                <c:pt idx="30">
                  <c:v>Juli 2027</c:v>
                </c:pt>
                <c:pt idx="31">
                  <c:v>August 2027</c:v>
                </c:pt>
                <c:pt idx="32">
                  <c:v>September 2027</c:v>
                </c:pt>
                <c:pt idx="33">
                  <c:v>Oktober 2027</c:v>
                </c:pt>
                <c:pt idx="34">
                  <c:v>November 2027</c:v>
                </c:pt>
                <c:pt idx="35">
                  <c:v>Desember 2027</c:v>
                </c:pt>
                <c:pt idx="36">
                  <c:v>Januar 2028</c:v>
                </c:pt>
                <c:pt idx="37">
                  <c:v>Februar 2028</c:v>
                </c:pt>
                <c:pt idx="38">
                  <c:v>Mars 2028</c:v>
                </c:pt>
                <c:pt idx="39">
                  <c:v>April 2028</c:v>
                </c:pt>
                <c:pt idx="40">
                  <c:v>Mai 2028</c:v>
                </c:pt>
                <c:pt idx="41">
                  <c:v>Juni 2028</c:v>
                </c:pt>
                <c:pt idx="42">
                  <c:v>Juli 2028</c:v>
                </c:pt>
                <c:pt idx="43">
                  <c:v>August 2028</c:v>
                </c:pt>
                <c:pt idx="44">
                  <c:v>September 2028</c:v>
                </c:pt>
                <c:pt idx="45">
                  <c:v>Oktober 2028</c:v>
                </c:pt>
                <c:pt idx="46">
                  <c:v>November 2028</c:v>
                </c:pt>
                <c:pt idx="47">
                  <c:v>Desember 2028</c:v>
                </c:pt>
                <c:pt idx="48">
                  <c:v>Januar 2029</c:v>
                </c:pt>
                <c:pt idx="49">
                  <c:v>Februar 2029</c:v>
                </c:pt>
                <c:pt idx="50">
                  <c:v>Mars 2029</c:v>
                </c:pt>
                <c:pt idx="51">
                  <c:v>April 2029</c:v>
                </c:pt>
                <c:pt idx="52">
                  <c:v>Mai 2029</c:v>
                </c:pt>
                <c:pt idx="53">
                  <c:v>Juni 2029</c:v>
                </c:pt>
                <c:pt idx="54">
                  <c:v>Juli 2029</c:v>
                </c:pt>
                <c:pt idx="55">
                  <c:v>August 2029</c:v>
                </c:pt>
                <c:pt idx="56">
                  <c:v>September 2029</c:v>
                </c:pt>
                <c:pt idx="57">
                  <c:v>Oktober 2029</c:v>
                </c:pt>
                <c:pt idx="58">
                  <c:v>November 2029</c:v>
                </c:pt>
                <c:pt idx="59">
                  <c:v>Desember 2029</c:v>
                </c:pt>
                <c:pt idx="60">
                  <c:v>Januar 2030</c:v>
                </c:pt>
                <c:pt idx="61">
                  <c:v>Februar 2030</c:v>
                </c:pt>
                <c:pt idx="62">
                  <c:v>Mars 2030</c:v>
                </c:pt>
                <c:pt idx="63">
                  <c:v>April 2030</c:v>
                </c:pt>
                <c:pt idx="64">
                  <c:v>Mai 2030</c:v>
                </c:pt>
                <c:pt idx="65">
                  <c:v>Juni 2030</c:v>
                </c:pt>
                <c:pt idx="66">
                  <c:v>Juli 2030</c:v>
                </c:pt>
                <c:pt idx="67">
                  <c:v>August 2030</c:v>
                </c:pt>
                <c:pt idx="68">
                  <c:v>September 2030</c:v>
                </c:pt>
                <c:pt idx="69">
                  <c:v>Oktober 2030</c:v>
                </c:pt>
                <c:pt idx="70">
                  <c:v>November 2030</c:v>
                </c:pt>
                <c:pt idx="71">
                  <c:v>Desember 2030</c:v>
                </c:pt>
                <c:pt idx="72">
                  <c:v>Januar 2031</c:v>
                </c:pt>
                <c:pt idx="73">
                  <c:v>Februar 2031</c:v>
                </c:pt>
                <c:pt idx="74">
                  <c:v>Mars 2031</c:v>
                </c:pt>
                <c:pt idx="75">
                  <c:v>April 2031</c:v>
                </c:pt>
                <c:pt idx="76">
                  <c:v>Mai 2031</c:v>
                </c:pt>
                <c:pt idx="77">
                  <c:v>Juni 2031</c:v>
                </c:pt>
                <c:pt idx="78">
                  <c:v>Juli 2031</c:v>
                </c:pt>
                <c:pt idx="79">
                  <c:v>August 2031</c:v>
                </c:pt>
                <c:pt idx="80">
                  <c:v>September 2031</c:v>
                </c:pt>
                <c:pt idx="81">
                  <c:v>Oktober 2031</c:v>
                </c:pt>
                <c:pt idx="82">
                  <c:v>November 2031</c:v>
                </c:pt>
                <c:pt idx="83">
                  <c:v>Desember 2031</c:v>
                </c:pt>
                <c:pt idx="84">
                  <c:v>Januar 2032</c:v>
                </c:pt>
                <c:pt idx="85">
                  <c:v>Februar 2032</c:v>
                </c:pt>
                <c:pt idx="86">
                  <c:v>Mars 2032</c:v>
                </c:pt>
                <c:pt idx="87">
                  <c:v>April 2032</c:v>
                </c:pt>
                <c:pt idx="88">
                  <c:v>Mai 2032</c:v>
                </c:pt>
                <c:pt idx="89">
                  <c:v>Juni 2032</c:v>
                </c:pt>
                <c:pt idx="90">
                  <c:v>Juli 2032</c:v>
                </c:pt>
                <c:pt idx="91">
                  <c:v>August 2032</c:v>
                </c:pt>
                <c:pt idx="92">
                  <c:v>September 2032</c:v>
                </c:pt>
                <c:pt idx="93">
                  <c:v>Oktober 2032</c:v>
                </c:pt>
                <c:pt idx="94">
                  <c:v>November 2032</c:v>
                </c:pt>
                <c:pt idx="95">
                  <c:v>Desember 2032</c:v>
                </c:pt>
                <c:pt idx="96">
                  <c:v>Januar 2033</c:v>
                </c:pt>
                <c:pt idx="97">
                  <c:v>Februar 2033</c:v>
                </c:pt>
                <c:pt idx="98">
                  <c:v>Mars 2033</c:v>
                </c:pt>
                <c:pt idx="99">
                  <c:v>April 2033</c:v>
                </c:pt>
                <c:pt idx="100">
                  <c:v>Mai 2033</c:v>
                </c:pt>
                <c:pt idx="101">
                  <c:v>Juni 2033</c:v>
                </c:pt>
                <c:pt idx="102">
                  <c:v>Juli 2033</c:v>
                </c:pt>
                <c:pt idx="103">
                  <c:v>August 2033</c:v>
                </c:pt>
                <c:pt idx="104">
                  <c:v>September 2033</c:v>
                </c:pt>
                <c:pt idx="105">
                  <c:v>Oktober 2033</c:v>
                </c:pt>
                <c:pt idx="106">
                  <c:v>November 2033</c:v>
                </c:pt>
                <c:pt idx="107">
                  <c:v>Desember 2033</c:v>
                </c:pt>
                <c:pt idx="108">
                  <c:v>Januar 2034</c:v>
                </c:pt>
                <c:pt idx="109">
                  <c:v>Februar 2034</c:v>
                </c:pt>
                <c:pt idx="110">
                  <c:v>Mars 2034</c:v>
                </c:pt>
                <c:pt idx="111">
                  <c:v>April 2034</c:v>
                </c:pt>
                <c:pt idx="112">
                  <c:v>Mai 2034</c:v>
                </c:pt>
                <c:pt idx="113">
                  <c:v>Juni 2034</c:v>
                </c:pt>
                <c:pt idx="114">
                  <c:v>Juli 2034</c:v>
                </c:pt>
                <c:pt idx="115">
                  <c:v>August 2034</c:v>
                </c:pt>
                <c:pt idx="116">
                  <c:v>September 2034</c:v>
                </c:pt>
                <c:pt idx="117">
                  <c:v>Oktober 2034</c:v>
                </c:pt>
                <c:pt idx="118">
                  <c:v>November 2034</c:v>
                </c:pt>
                <c:pt idx="119">
                  <c:v>Desember 2034</c:v>
                </c:pt>
                <c:pt idx="120">
                  <c:v>Januar 2035</c:v>
                </c:pt>
                <c:pt idx="121">
                  <c:v>Februar 2035</c:v>
                </c:pt>
                <c:pt idx="122">
                  <c:v>Mars 2035</c:v>
                </c:pt>
                <c:pt idx="123">
                  <c:v>April 2035</c:v>
                </c:pt>
                <c:pt idx="124">
                  <c:v>Mai 2035</c:v>
                </c:pt>
                <c:pt idx="125">
                  <c:v>Juni 2035</c:v>
                </c:pt>
                <c:pt idx="126">
                  <c:v>Juli 2035</c:v>
                </c:pt>
                <c:pt idx="127">
                  <c:v>August 2035</c:v>
                </c:pt>
                <c:pt idx="128">
                  <c:v>September 2035</c:v>
                </c:pt>
                <c:pt idx="129">
                  <c:v>Oktober 2035</c:v>
                </c:pt>
                <c:pt idx="130">
                  <c:v>November 2035</c:v>
                </c:pt>
                <c:pt idx="131">
                  <c:v>Desember 2035</c:v>
                </c:pt>
                <c:pt idx="132">
                  <c:v>Januar 2036</c:v>
                </c:pt>
                <c:pt idx="133">
                  <c:v>Februar 2036</c:v>
                </c:pt>
                <c:pt idx="134">
                  <c:v>Mars 2036</c:v>
                </c:pt>
                <c:pt idx="135">
                  <c:v>April 2036</c:v>
                </c:pt>
                <c:pt idx="136">
                  <c:v>Mai 2036</c:v>
                </c:pt>
                <c:pt idx="137">
                  <c:v>Juni 2036</c:v>
                </c:pt>
                <c:pt idx="138">
                  <c:v>Juli 2036</c:v>
                </c:pt>
                <c:pt idx="139">
                  <c:v>August 2036</c:v>
                </c:pt>
                <c:pt idx="140">
                  <c:v>September 2036</c:v>
                </c:pt>
                <c:pt idx="141">
                  <c:v>Oktober 2036</c:v>
                </c:pt>
                <c:pt idx="142">
                  <c:v>November 2036</c:v>
                </c:pt>
                <c:pt idx="143">
                  <c:v>Desember 2036</c:v>
                </c:pt>
                <c:pt idx="144">
                  <c:v>Januar 2037</c:v>
                </c:pt>
                <c:pt idx="145">
                  <c:v>Februar 2037</c:v>
                </c:pt>
                <c:pt idx="146">
                  <c:v>Mars 2037</c:v>
                </c:pt>
                <c:pt idx="147">
                  <c:v>April 2037</c:v>
                </c:pt>
                <c:pt idx="148">
                  <c:v>Mai 2037</c:v>
                </c:pt>
                <c:pt idx="149">
                  <c:v>Juni 2037</c:v>
                </c:pt>
                <c:pt idx="150">
                  <c:v>Juli 2037</c:v>
                </c:pt>
                <c:pt idx="151">
                  <c:v>August 2037</c:v>
                </c:pt>
                <c:pt idx="152">
                  <c:v>September 2037</c:v>
                </c:pt>
                <c:pt idx="153">
                  <c:v>Oktober 2037</c:v>
                </c:pt>
                <c:pt idx="154">
                  <c:v>November 2037</c:v>
                </c:pt>
                <c:pt idx="155">
                  <c:v>Desember 2037</c:v>
                </c:pt>
                <c:pt idx="156">
                  <c:v>Januar 2038</c:v>
                </c:pt>
                <c:pt idx="157">
                  <c:v>Februar 2038</c:v>
                </c:pt>
                <c:pt idx="158">
                  <c:v>Mars 2038</c:v>
                </c:pt>
                <c:pt idx="159">
                  <c:v>April 2038</c:v>
                </c:pt>
                <c:pt idx="160">
                  <c:v>Mai 2038</c:v>
                </c:pt>
                <c:pt idx="161">
                  <c:v>Juni 2038</c:v>
                </c:pt>
                <c:pt idx="162">
                  <c:v>Juli 2038</c:v>
                </c:pt>
                <c:pt idx="163">
                  <c:v>August 2038</c:v>
                </c:pt>
                <c:pt idx="164">
                  <c:v>September 2038</c:v>
                </c:pt>
                <c:pt idx="165">
                  <c:v>Oktober 2038</c:v>
                </c:pt>
                <c:pt idx="166">
                  <c:v>November 2038</c:v>
                </c:pt>
                <c:pt idx="167">
                  <c:v>Desember 2038</c:v>
                </c:pt>
                <c:pt idx="168">
                  <c:v>Januar 2039</c:v>
                </c:pt>
                <c:pt idx="169">
                  <c:v>Februar 2039</c:v>
                </c:pt>
                <c:pt idx="170">
                  <c:v>Mars 2039</c:v>
                </c:pt>
                <c:pt idx="171">
                  <c:v>April 2039</c:v>
                </c:pt>
                <c:pt idx="172">
                  <c:v>Mai 2039</c:v>
                </c:pt>
                <c:pt idx="173">
                  <c:v>Juni 2039</c:v>
                </c:pt>
                <c:pt idx="174">
                  <c:v>Juli 2039</c:v>
                </c:pt>
                <c:pt idx="175">
                  <c:v>August 2039</c:v>
                </c:pt>
                <c:pt idx="176">
                  <c:v>September 2039</c:v>
                </c:pt>
                <c:pt idx="177">
                  <c:v>Oktober 2039</c:v>
                </c:pt>
                <c:pt idx="178">
                  <c:v>November 2039</c:v>
                </c:pt>
                <c:pt idx="179">
                  <c:v>Desember 2039</c:v>
                </c:pt>
                <c:pt idx="180">
                  <c:v>Januar 2040</c:v>
                </c:pt>
                <c:pt idx="181">
                  <c:v>Februar 2040</c:v>
                </c:pt>
                <c:pt idx="182">
                  <c:v>Mars 2040</c:v>
                </c:pt>
                <c:pt idx="183">
                  <c:v>April 2040</c:v>
                </c:pt>
                <c:pt idx="184">
                  <c:v>Mai 2040</c:v>
                </c:pt>
                <c:pt idx="185">
                  <c:v>Juni 2040</c:v>
                </c:pt>
                <c:pt idx="186">
                  <c:v>Juli 2040</c:v>
                </c:pt>
                <c:pt idx="187">
                  <c:v>August 2040</c:v>
                </c:pt>
                <c:pt idx="188">
                  <c:v>September 2040</c:v>
                </c:pt>
                <c:pt idx="189">
                  <c:v>Oktober 2040</c:v>
                </c:pt>
                <c:pt idx="190">
                  <c:v>November 2040</c:v>
                </c:pt>
                <c:pt idx="191">
                  <c:v>Desember 2040</c:v>
                </c:pt>
                <c:pt idx="192">
                  <c:v>Januar 2041</c:v>
                </c:pt>
                <c:pt idx="193">
                  <c:v>Februar 2041</c:v>
                </c:pt>
                <c:pt idx="194">
                  <c:v>Mars 2041</c:v>
                </c:pt>
                <c:pt idx="195">
                  <c:v>April 2041</c:v>
                </c:pt>
                <c:pt idx="196">
                  <c:v>Mai 2041</c:v>
                </c:pt>
                <c:pt idx="197">
                  <c:v>Juni 2041</c:v>
                </c:pt>
                <c:pt idx="198">
                  <c:v>Juli 2041</c:v>
                </c:pt>
                <c:pt idx="199">
                  <c:v>August 2041</c:v>
                </c:pt>
                <c:pt idx="200">
                  <c:v>September 2041</c:v>
                </c:pt>
                <c:pt idx="201">
                  <c:v>Oktober 2041</c:v>
                </c:pt>
                <c:pt idx="202">
                  <c:v>November 2041</c:v>
                </c:pt>
                <c:pt idx="203">
                  <c:v>Desember 2041</c:v>
                </c:pt>
                <c:pt idx="204">
                  <c:v>Januar 2042</c:v>
                </c:pt>
                <c:pt idx="205">
                  <c:v>Februar 2042</c:v>
                </c:pt>
                <c:pt idx="206">
                  <c:v>Mars 2042</c:v>
                </c:pt>
                <c:pt idx="207">
                  <c:v>April 2042</c:v>
                </c:pt>
                <c:pt idx="208">
                  <c:v>Mai 2042</c:v>
                </c:pt>
                <c:pt idx="209">
                  <c:v>Juni 2042</c:v>
                </c:pt>
                <c:pt idx="210">
                  <c:v>Juli 2042</c:v>
                </c:pt>
                <c:pt idx="211">
                  <c:v>August 2042</c:v>
                </c:pt>
                <c:pt idx="212">
                  <c:v>September 2042</c:v>
                </c:pt>
                <c:pt idx="213">
                  <c:v>Oktober 2042</c:v>
                </c:pt>
                <c:pt idx="214">
                  <c:v>November 2042</c:v>
                </c:pt>
                <c:pt idx="215">
                  <c:v>Desember 2042</c:v>
                </c:pt>
                <c:pt idx="216">
                  <c:v>Januar 2043</c:v>
                </c:pt>
                <c:pt idx="217">
                  <c:v>Februar 2043</c:v>
                </c:pt>
                <c:pt idx="218">
                  <c:v>Mars 2043</c:v>
                </c:pt>
                <c:pt idx="219">
                  <c:v>April 2043</c:v>
                </c:pt>
                <c:pt idx="220">
                  <c:v>Mai 2043</c:v>
                </c:pt>
                <c:pt idx="221">
                  <c:v>Juni 2043</c:v>
                </c:pt>
                <c:pt idx="222">
                  <c:v>Juli 2043</c:v>
                </c:pt>
                <c:pt idx="223">
                  <c:v>August 2043</c:v>
                </c:pt>
                <c:pt idx="224">
                  <c:v>September 2043</c:v>
                </c:pt>
                <c:pt idx="225">
                  <c:v>Oktober 2043</c:v>
                </c:pt>
                <c:pt idx="226">
                  <c:v>November 2043</c:v>
                </c:pt>
                <c:pt idx="227">
                  <c:v>Desember 2043</c:v>
                </c:pt>
                <c:pt idx="228">
                  <c:v>Januar 2044</c:v>
                </c:pt>
                <c:pt idx="229">
                  <c:v>Februar 2044</c:v>
                </c:pt>
                <c:pt idx="230">
                  <c:v>Mars 2044</c:v>
                </c:pt>
                <c:pt idx="231">
                  <c:v>April 2044</c:v>
                </c:pt>
                <c:pt idx="232">
                  <c:v>Mai 2044</c:v>
                </c:pt>
                <c:pt idx="233">
                  <c:v>Juni 2044</c:v>
                </c:pt>
                <c:pt idx="234">
                  <c:v>Juli 2044</c:v>
                </c:pt>
                <c:pt idx="235">
                  <c:v>August 2044</c:v>
                </c:pt>
                <c:pt idx="236">
                  <c:v>September 2044</c:v>
                </c:pt>
                <c:pt idx="237">
                  <c:v>Oktober 2044</c:v>
                </c:pt>
                <c:pt idx="238">
                  <c:v>November 2044</c:v>
                </c:pt>
                <c:pt idx="239">
                  <c:v>Desember 2044</c:v>
                </c:pt>
                <c:pt idx="240">
                  <c:v>Januar 2045</c:v>
                </c:pt>
                <c:pt idx="241">
                  <c:v>Februar 2045</c:v>
                </c:pt>
                <c:pt idx="242">
                  <c:v>Mars 2045</c:v>
                </c:pt>
                <c:pt idx="243">
                  <c:v>April 2045</c:v>
                </c:pt>
                <c:pt idx="244">
                  <c:v>Mai 2045</c:v>
                </c:pt>
                <c:pt idx="245">
                  <c:v>Juni 2045</c:v>
                </c:pt>
                <c:pt idx="246">
                  <c:v>Juli 2045</c:v>
                </c:pt>
                <c:pt idx="247">
                  <c:v>August 2045</c:v>
                </c:pt>
                <c:pt idx="248">
                  <c:v>September 2045</c:v>
                </c:pt>
                <c:pt idx="249">
                  <c:v>Oktober 2045</c:v>
                </c:pt>
                <c:pt idx="250">
                  <c:v>November 2045</c:v>
                </c:pt>
                <c:pt idx="251">
                  <c:v>Desember 2045</c:v>
                </c:pt>
                <c:pt idx="252">
                  <c:v>Januar 2046</c:v>
                </c:pt>
                <c:pt idx="253">
                  <c:v>Februar 2046</c:v>
                </c:pt>
                <c:pt idx="254">
                  <c:v>Mars 2046</c:v>
                </c:pt>
                <c:pt idx="255">
                  <c:v>April 2046</c:v>
                </c:pt>
                <c:pt idx="256">
                  <c:v>Mai 2046</c:v>
                </c:pt>
                <c:pt idx="257">
                  <c:v>Juni 2046</c:v>
                </c:pt>
                <c:pt idx="258">
                  <c:v>Juli 2046</c:v>
                </c:pt>
                <c:pt idx="259">
                  <c:v>August 2046</c:v>
                </c:pt>
                <c:pt idx="260">
                  <c:v>September 2046</c:v>
                </c:pt>
                <c:pt idx="261">
                  <c:v>Oktober 2046</c:v>
                </c:pt>
                <c:pt idx="262">
                  <c:v>November 2046</c:v>
                </c:pt>
                <c:pt idx="263">
                  <c:v>Desember 2046</c:v>
                </c:pt>
                <c:pt idx="264">
                  <c:v>Januar 2047</c:v>
                </c:pt>
                <c:pt idx="265">
                  <c:v>Februar 2047</c:v>
                </c:pt>
                <c:pt idx="266">
                  <c:v>Mars 2047</c:v>
                </c:pt>
                <c:pt idx="267">
                  <c:v>April 2047</c:v>
                </c:pt>
                <c:pt idx="268">
                  <c:v>Mai 2047</c:v>
                </c:pt>
                <c:pt idx="269">
                  <c:v>Juni 2047</c:v>
                </c:pt>
                <c:pt idx="270">
                  <c:v>Juli 2047</c:v>
                </c:pt>
                <c:pt idx="271">
                  <c:v>August 2047</c:v>
                </c:pt>
                <c:pt idx="272">
                  <c:v>September 2047</c:v>
                </c:pt>
                <c:pt idx="273">
                  <c:v>Oktober 2047</c:v>
                </c:pt>
                <c:pt idx="274">
                  <c:v>November 2047</c:v>
                </c:pt>
                <c:pt idx="275">
                  <c:v>Desember 2047</c:v>
                </c:pt>
                <c:pt idx="276">
                  <c:v>Januar 2048</c:v>
                </c:pt>
                <c:pt idx="277">
                  <c:v>Februar 2048</c:v>
                </c:pt>
                <c:pt idx="278">
                  <c:v>Mars 2048</c:v>
                </c:pt>
                <c:pt idx="279">
                  <c:v>April 2048</c:v>
                </c:pt>
                <c:pt idx="280">
                  <c:v>Mai 2048</c:v>
                </c:pt>
                <c:pt idx="281">
                  <c:v>Juni 2048</c:v>
                </c:pt>
                <c:pt idx="282">
                  <c:v>Juli 2048</c:v>
                </c:pt>
                <c:pt idx="283">
                  <c:v>August 2048</c:v>
                </c:pt>
                <c:pt idx="284">
                  <c:v>September 2048</c:v>
                </c:pt>
                <c:pt idx="285">
                  <c:v>Oktober 2048</c:v>
                </c:pt>
                <c:pt idx="286">
                  <c:v>November 2048</c:v>
                </c:pt>
                <c:pt idx="287">
                  <c:v>Desember 2048</c:v>
                </c:pt>
                <c:pt idx="288">
                  <c:v>Januar 2049</c:v>
                </c:pt>
                <c:pt idx="289">
                  <c:v>Februar 2049</c:v>
                </c:pt>
                <c:pt idx="290">
                  <c:v>Mars 2049</c:v>
                </c:pt>
                <c:pt idx="291">
                  <c:v>April 2049</c:v>
                </c:pt>
                <c:pt idx="292">
                  <c:v>Mai 2049</c:v>
                </c:pt>
                <c:pt idx="293">
                  <c:v>Juni 2049</c:v>
                </c:pt>
                <c:pt idx="294">
                  <c:v>Juli 2049</c:v>
                </c:pt>
                <c:pt idx="295">
                  <c:v>August 2049</c:v>
                </c:pt>
                <c:pt idx="296">
                  <c:v>September 2049</c:v>
                </c:pt>
                <c:pt idx="297">
                  <c:v>Oktober 2049</c:v>
                </c:pt>
                <c:pt idx="298">
                  <c:v>November 2049</c:v>
                </c:pt>
                <c:pt idx="299">
                  <c:v>Desember 2049</c:v>
                </c:pt>
                <c:pt idx="300">
                  <c:v>Januar 2050</c:v>
                </c:pt>
                <c:pt idx="301">
                  <c:v>Februar 2050</c:v>
                </c:pt>
                <c:pt idx="302">
                  <c:v>Mars 2050</c:v>
                </c:pt>
                <c:pt idx="303">
                  <c:v>April 2050</c:v>
                </c:pt>
                <c:pt idx="304">
                  <c:v>Mai 2050</c:v>
                </c:pt>
                <c:pt idx="305">
                  <c:v>Juni 2050</c:v>
                </c:pt>
                <c:pt idx="306">
                  <c:v>Juli 2050</c:v>
                </c:pt>
                <c:pt idx="307">
                  <c:v>August 2050</c:v>
                </c:pt>
                <c:pt idx="308">
                  <c:v>September 2050</c:v>
                </c:pt>
                <c:pt idx="309">
                  <c:v>Oktober 2050</c:v>
                </c:pt>
                <c:pt idx="310">
                  <c:v>November 2050</c:v>
                </c:pt>
                <c:pt idx="311">
                  <c:v>Desember 2050</c:v>
                </c:pt>
                <c:pt idx="312">
                  <c:v>Januar 2051</c:v>
                </c:pt>
                <c:pt idx="313">
                  <c:v>Februar 2051</c:v>
                </c:pt>
                <c:pt idx="314">
                  <c:v>Mars 2051</c:v>
                </c:pt>
                <c:pt idx="315">
                  <c:v>April 2051</c:v>
                </c:pt>
                <c:pt idx="316">
                  <c:v>Mai 2051</c:v>
                </c:pt>
                <c:pt idx="317">
                  <c:v>Juni 2051</c:v>
                </c:pt>
                <c:pt idx="318">
                  <c:v>Juli 2051</c:v>
                </c:pt>
                <c:pt idx="319">
                  <c:v>August 2051</c:v>
                </c:pt>
                <c:pt idx="320">
                  <c:v>September 2051</c:v>
                </c:pt>
                <c:pt idx="321">
                  <c:v>Oktober 2051</c:v>
                </c:pt>
                <c:pt idx="322">
                  <c:v>November 2051</c:v>
                </c:pt>
                <c:pt idx="323">
                  <c:v>Desember 2051</c:v>
                </c:pt>
                <c:pt idx="324">
                  <c:v>Januar 2052</c:v>
                </c:pt>
                <c:pt idx="325">
                  <c:v>Februar 2052</c:v>
                </c:pt>
                <c:pt idx="326">
                  <c:v>Mars 2052</c:v>
                </c:pt>
                <c:pt idx="327">
                  <c:v>April 2052</c:v>
                </c:pt>
                <c:pt idx="328">
                  <c:v>Mai 2052</c:v>
                </c:pt>
                <c:pt idx="329">
                  <c:v>Juni 2052</c:v>
                </c:pt>
                <c:pt idx="330">
                  <c:v>Juli 2052</c:v>
                </c:pt>
                <c:pt idx="331">
                  <c:v>August 2052</c:v>
                </c:pt>
                <c:pt idx="332">
                  <c:v>September 2052</c:v>
                </c:pt>
                <c:pt idx="333">
                  <c:v>Oktober 2052</c:v>
                </c:pt>
                <c:pt idx="334">
                  <c:v>November 2052</c:v>
                </c:pt>
                <c:pt idx="335">
                  <c:v>Desember 2052</c:v>
                </c:pt>
                <c:pt idx="336">
                  <c:v>Januar 2053</c:v>
                </c:pt>
                <c:pt idx="337">
                  <c:v>Februar 2053</c:v>
                </c:pt>
                <c:pt idx="338">
                  <c:v>Mars 2053</c:v>
                </c:pt>
                <c:pt idx="339">
                  <c:v>April 2053</c:v>
                </c:pt>
                <c:pt idx="340">
                  <c:v>Mai 2053</c:v>
                </c:pt>
                <c:pt idx="341">
                  <c:v>Juni 2053</c:v>
                </c:pt>
                <c:pt idx="342">
                  <c:v>Juli 2053</c:v>
                </c:pt>
                <c:pt idx="343">
                  <c:v>August 2053</c:v>
                </c:pt>
                <c:pt idx="344">
                  <c:v>September 2053</c:v>
                </c:pt>
                <c:pt idx="345">
                  <c:v>Oktober 2053</c:v>
                </c:pt>
                <c:pt idx="346">
                  <c:v>November 2053</c:v>
                </c:pt>
                <c:pt idx="347">
                  <c:v>Desember 2053</c:v>
                </c:pt>
                <c:pt idx="348">
                  <c:v>Januar 2054</c:v>
                </c:pt>
                <c:pt idx="349">
                  <c:v>Februar 2054</c:v>
                </c:pt>
                <c:pt idx="350">
                  <c:v>Mars 2054</c:v>
                </c:pt>
                <c:pt idx="351">
                  <c:v>April 2054</c:v>
                </c:pt>
                <c:pt idx="352">
                  <c:v>Mai 2054</c:v>
                </c:pt>
                <c:pt idx="353">
                  <c:v>Juni 2054</c:v>
                </c:pt>
                <c:pt idx="354">
                  <c:v>Juli 2054</c:v>
                </c:pt>
                <c:pt idx="355">
                  <c:v>August 2054</c:v>
                </c:pt>
                <c:pt idx="356">
                  <c:v>September 2054</c:v>
                </c:pt>
                <c:pt idx="357">
                  <c:v>Oktober 2054</c:v>
                </c:pt>
                <c:pt idx="358">
                  <c:v>November 2054</c:v>
                </c:pt>
                <c:pt idx="359">
                  <c:v>Desember 2054</c:v>
                </c:pt>
              </c:strCache>
            </c:strRef>
          </c:cat>
          <c:val>
            <c:numRef>
              <c:f>'Dynamisk plan'!$J$18:$J$377</c:f>
              <c:numCache>
                <c:formatCode>[$kr-414]\ #,##0;\-[$kr-414]\ #,##0</c:formatCode>
                <c:ptCount val="360"/>
                <c:pt idx="0">
                  <c:v>11711.263424999999</c:v>
                </c:pt>
                <c:pt idx="1">
                  <c:v>11673.727324278845</c:v>
                </c:pt>
                <c:pt idx="2">
                  <c:v>11636.191223557695</c:v>
                </c:pt>
                <c:pt idx="3">
                  <c:v>11598.655122836541</c:v>
                </c:pt>
                <c:pt idx="4">
                  <c:v>11561.119022115387</c:v>
                </c:pt>
                <c:pt idx="5">
                  <c:v>11523.582921394234</c:v>
                </c:pt>
                <c:pt idx="6">
                  <c:v>11486.04682067308</c:v>
                </c:pt>
                <c:pt idx="7">
                  <c:v>11448.510719951928</c:v>
                </c:pt>
                <c:pt idx="8">
                  <c:v>11410.974619230774</c:v>
                </c:pt>
                <c:pt idx="9">
                  <c:v>11373.438518509623</c:v>
                </c:pt>
                <c:pt idx="10">
                  <c:v>11335.902417788469</c:v>
                </c:pt>
                <c:pt idx="11">
                  <c:v>11298.366317067315</c:v>
                </c:pt>
                <c:pt idx="12">
                  <c:v>11260.830216346163</c:v>
                </c:pt>
                <c:pt idx="13">
                  <c:v>11223.294115625009</c:v>
                </c:pt>
                <c:pt idx="14">
                  <c:v>11185.758014903857</c:v>
                </c:pt>
                <c:pt idx="15">
                  <c:v>11148.221914182703</c:v>
                </c:pt>
                <c:pt idx="16">
                  <c:v>11110.685813461549</c:v>
                </c:pt>
                <c:pt idx="17">
                  <c:v>11073.149712740398</c:v>
                </c:pt>
                <c:pt idx="18">
                  <c:v>11035.613612019244</c:v>
                </c:pt>
                <c:pt idx="19">
                  <c:v>10998.077511298092</c:v>
                </c:pt>
                <c:pt idx="20">
                  <c:v>10960.541410576938</c:v>
                </c:pt>
                <c:pt idx="21">
                  <c:v>10923.005309855784</c:v>
                </c:pt>
                <c:pt idx="22">
                  <c:v>10885.469209134631</c:v>
                </c:pt>
                <c:pt idx="23">
                  <c:v>10847.933108413479</c:v>
                </c:pt>
                <c:pt idx="24">
                  <c:v>10810.397007692325</c:v>
                </c:pt>
                <c:pt idx="25">
                  <c:v>10772.860906971173</c:v>
                </c:pt>
                <c:pt idx="26">
                  <c:v>10735.324806250019</c:v>
                </c:pt>
                <c:pt idx="27">
                  <c:v>10697.788705528867</c:v>
                </c:pt>
                <c:pt idx="28">
                  <c:v>10660.252604807714</c:v>
                </c:pt>
                <c:pt idx="29">
                  <c:v>10622.71650408656</c:v>
                </c:pt>
                <c:pt idx="30">
                  <c:v>10585.180403365406</c:v>
                </c:pt>
                <c:pt idx="31">
                  <c:v>10547.644302644254</c:v>
                </c:pt>
                <c:pt idx="32">
                  <c:v>10510.108201923102</c:v>
                </c:pt>
                <c:pt idx="33">
                  <c:v>10472.572101201948</c:v>
                </c:pt>
                <c:pt idx="34">
                  <c:v>10435.036000480795</c:v>
                </c:pt>
                <c:pt idx="35">
                  <c:v>10397.499899759641</c:v>
                </c:pt>
                <c:pt idx="36">
                  <c:v>10359.963799038489</c:v>
                </c:pt>
                <c:pt idx="37">
                  <c:v>10322.427698317335</c:v>
                </c:pt>
                <c:pt idx="38">
                  <c:v>10284.891597596183</c:v>
                </c:pt>
                <c:pt idx="39">
                  <c:v>10247.35549687503</c:v>
                </c:pt>
                <c:pt idx="40">
                  <c:v>10209.819396153876</c:v>
                </c:pt>
                <c:pt idx="41">
                  <c:v>10172.283295432722</c:v>
                </c:pt>
                <c:pt idx="42">
                  <c:v>10134.74719471157</c:v>
                </c:pt>
                <c:pt idx="43">
                  <c:v>10097.211093990418</c:v>
                </c:pt>
                <c:pt idx="44">
                  <c:v>10059.674993269264</c:v>
                </c:pt>
                <c:pt idx="45">
                  <c:v>10022.13889254811</c:v>
                </c:pt>
                <c:pt idx="46">
                  <c:v>9984.6027918269574</c:v>
                </c:pt>
                <c:pt idx="47">
                  <c:v>9947.0666911058051</c:v>
                </c:pt>
                <c:pt idx="48">
                  <c:v>9909.5305903846511</c:v>
                </c:pt>
                <c:pt idx="49">
                  <c:v>9871.9944896634988</c:v>
                </c:pt>
                <c:pt idx="50">
                  <c:v>9834.4583889423466</c:v>
                </c:pt>
                <c:pt idx="51">
                  <c:v>9796.9222882211925</c:v>
                </c:pt>
                <c:pt idx="52">
                  <c:v>9759.3861875000384</c:v>
                </c:pt>
                <c:pt idx="53">
                  <c:v>9721.8500867788862</c:v>
                </c:pt>
                <c:pt idx="54">
                  <c:v>9684.3139860577339</c:v>
                </c:pt>
                <c:pt idx="55">
                  <c:v>9646.7778853365799</c:v>
                </c:pt>
                <c:pt idx="56">
                  <c:v>9609.2417846154258</c:v>
                </c:pt>
                <c:pt idx="57">
                  <c:v>9571.7056838942717</c:v>
                </c:pt>
                <c:pt idx="58">
                  <c:v>9534.1695831731176</c:v>
                </c:pt>
                <c:pt idx="59">
                  <c:v>9496.6334824519636</c:v>
                </c:pt>
                <c:pt idx="60">
                  <c:v>9459.0973817308095</c:v>
                </c:pt>
                <c:pt idx="61">
                  <c:v>9421.5612810096554</c:v>
                </c:pt>
                <c:pt idx="62">
                  <c:v>9384.0251802885014</c:v>
                </c:pt>
                <c:pt idx="63">
                  <c:v>9346.4890795673473</c:v>
                </c:pt>
                <c:pt idx="64">
                  <c:v>9308.9529788461932</c:v>
                </c:pt>
                <c:pt idx="65">
                  <c:v>9271.4168781250391</c:v>
                </c:pt>
                <c:pt idx="66">
                  <c:v>9233.8807774038851</c:v>
                </c:pt>
                <c:pt idx="67">
                  <c:v>9196.344676682731</c:v>
                </c:pt>
                <c:pt idx="68">
                  <c:v>9158.8085759615769</c:v>
                </c:pt>
                <c:pt idx="69">
                  <c:v>9121.2724752404229</c:v>
                </c:pt>
                <c:pt idx="70">
                  <c:v>9083.7363745192688</c:v>
                </c:pt>
                <c:pt idx="71">
                  <c:v>9046.2002737981147</c:v>
                </c:pt>
                <c:pt idx="72">
                  <c:v>9008.6641730769607</c:v>
                </c:pt>
                <c:pt idx="73">
                  <c:v>8971.1280723558066</c:v>
                </c:pt>
                <c:pt idx="74">
                  <c:v>8933.5919716346525</c:v>
                </c:pt>
                <c:pt idx="75">
                  <c:v>8896.0558709134984</c:v>
                </c:pt>
                <c:pt idx="76">
                  <c:v>8858.5197701923444</c:v>
                </c:pt>
                <c:pt idx="77">
                  <c:v>8820.9836694711903</c:v>
                </c:pt>
                <c:pt idx="78">
                  <c:v>8783.4475687500362</c:v>
                </c:pt>
                <c:pt idx="79">
                  <c:v>8745.9114680288822</c:v>
                </c:pt>
                <c:pt idx="80">
                  <c:v>8708.3753673077281</c:v>
                </c:pt>
                <c:pt idx="81">
                  <c:v>8670.839266586574</c:v>
                </c:pt>
                <c:pt idx="82">
                  <c:v>8633.3031658654199</c:v>
                </c:pt>
                <c:pt idx="83">
                  <c:v>8595.7670651442659</c:v>
                </c:pt>
                <c:pt idx="84">
                  <c:v>8558.2309644231118</c:v>
                </c:pt>
                <c:pt idx="85">
                  <c:v>8520.6948637019577</c:v>
                </c:pt>
                <c:pt idx="86">
                  <c:v>8483.1587629808037</c:v>
                </c:pt>
                <c:pt idx="87">
                  <c:v>8445.6226622596496</c:v>
                </c:pt>
                <c:pt idx="88">
                  <c:v>8408.0865615384955</c:v>
                </c:pt>
                <c:pt idx="89">
                  <c:v>8370.5504608173396</c:v>
                </c:pt>
                <c:pt idx="90">
                  <c:v>8333.0143600961856</c:v>
                </c:pt>
                <c:pt idx="91">
                  <c:v>8295.4782593750315</c:v>
                </c:pt>
                <c:pt idx="92">
                  <c:v>8257.9421586538774</c:v>
                </c:pt>
                <c:pt idx="93">
                  <c:v>8220.4060579327233</c:v>
                </c:pt>
                <c:pt idx="94">
                  <c:v>8182.8699572115693</c:v>
                </c:pt>
                <c:pt idx="95">
                  <c:v>8145.3338564904152</c:v>
                </c:pt>
                <c:pt idx="96">
                  <c:v>8107.7977557692611</c:v>
                </c:pt>
                <c:pt idx="97">
                  <c:v>8070.2616550481071</c:v>
                </c:pt>
                <c:pt idx="98">
                  <c:v>8032.725554326953</c:v>
                </c:pt>
                <c:pt idx="99">
                  <c:v>7995.1894536057989</c:v>
                </c:pt>
                <c:pt idx="100">
                  <c:v>7957.6533528846448</c:v>
                </c:pt>
                <c:pt idx="101">
                  <c:v>7920.1172521634908</c:v>
                </c:pt>
                <c:pt idx="102">
                  <c:v>7882.5811514423367</c:v>
                </c:pt>
                <c:pt idx="103">
                  <c:v>7845.0450507211826</c:v>
                </c:pt>
                <c:pt idx="104">
                  <c:v>7807.5089500000286</c:v>
                </c:pt>
                <c:pt idx="105">
                  <c:v>7769.9728492788745</c:v>
                </c:pt>
                <c:pt idx="106">
                  <c:v>7732.4367485577195</c:v>
                </c:pt>
                <c:pt idx="107">
                  <c:v>7694.9006478365654</c:v>
                </c:pt>
                <c:pt idx="108">
                  <c:v>7657.3645471154114</c:v>
                </c:pt>
                <c:pt idx="109">
                  <c:v>7619.8284463942573</c:v>
                </c:pt>
                <c:pt idx="110">
                  <c:v>7582.2923456731032</c:v>
                </c:pt>
                <c:pt idx="111">
                  <c:v>7544.7562449519492</c:v>
                </c:pt>
                <c:pt idx="112">
                  <c:v>7507.2201442307951</c:v>
                </c:pt>
                <c:pt idx="113">
                  <c:v>7469.684043509641</c:v>
                </c:pt>
                <c:pt idx="114">
                  <c:v>7432.1479427884869</c:v>
                </c:pt>
                <c:pt idx="115">
                  <c:v>7394.6118420673329</c:v>
                </c:pt>
                <c:pt idx="116">
                  <c:v>7357.0757413461788</c:v>
                </c:pt>
                <c:pt idx="117">
                  <c:v>7319.5396406250247</c:v>
                </c:pt>
                <c:pt idx="118">
                  <c:v>7282.0035399038707</c:v>
                </c:pt>
                <c:pt idx="119">
                  <c:v>7244.4674391827166</c:v>
                </c:pt>
                <c:pt idx="120">
                  <c:v>7206.9313384615625</c:v>
                </c:pt>
                <c:pt idx="121">
                  <c:v>7169.3952377404084</c:v>
                </c:pt>
                <c:pt idx="122">
                  <c:v>7131.8591370192526</c:v>
                </c:pt>
                <c:pt idx="123">
                  <c:v>7094.3230362980985</c:v>
                </c:pt>
                <c:pt idx="124">
                  <c:v>7056.7869355769444</c:v>
                </c:pt>
                <c:pt idx="125">
                  <c:v>7019.2508348557903</c:v>
                </c:pt>
                <c:pt idx="126">
                  <c:v>6981.7147341346363</c:v>
                </c:pt>
                <c:pt idx="127">
                  <c:v>6944.1786334134822</c:v>
                </c:pt>
                <c:pt idx="128">
                  <c:v>6906.6425326923281</c:v>
                </c:pt>
                <c:pt idx="129">
                  <c:v>6869.1064319711741</c:v>
                </c:pt>
                <c:pt idx="130">
                  <c:v>6831.57033125002</c:v>
                </c:pt>
                <c:pt idx="131">
                  <c:v>6794.0342305288659</c:v>
                </c:pt>
                <c:pt idx="132">
                  <c:v>6756.4981298077118</c:v>
                </c:pt>
                <c:pt idx="133">
                  <c:v>6718.9620290865578</c:v>
                </c:pt>
                <c:pt idx="134">
                  <c:v>6681.4259283654037</c:v>
                </c:pt>
                <c:pt idx="135">
                  <c:v>6643.8898276442496</c:v>
                </c:pt>
                <c:pt idx="136">
                  <c:v>6606.3537269230956</c:v>
                </c:pt>
                <c:pt idx="137">
                  <c:v>6568.8176262019415</c:v>
                </c:pt>
                <c:pt idx="138">
                  <c:v>6531.2815254807865</c:v>
                </c:pt>
                <c:pt idx="139">
                  <c:v>6493.7454247596324</c:v>
                </c:pt>
                <c:pt idx="140">
                  <c:v>6456.2093240384784</c:v>
                </c:pt>
                <c:pt idx="141">
                  <c:v>6418.6732233173243</c:v>
                </c:pt>
                <c:pt idx="142">
                  <c:v>6381.1371225961702</c:v>
                </c:pt>
                <c:pt idx="143">
                  <c:v>6343.6010218750162</c:v>
                </c:pt>
                <c:pt idx="144">
                  <c:v>6306.0649211538621</c:v>
                </c:pt>
                <c:pt idx="145">
                  <c:v>6268.528820432708</c:v>
                </c:pt>
                <c:pt idx="146">
                  <c:v>6230.9927197115539</c:v>
                </c:pt>
                <c:pt idx="147">
                  <c:v>6193.4566189903999</c:v>
                </c:pt>
                <c:pt idx="148">
                  <c:v>6155.9205182692458</c:v>
                </c:pt>
                <c:pt idx="149">
                  <c:v>6118.3844175480917</c:v>
                </c:pt>
                <c:pt idx="150">
                  <c:v>6080.8483168269377</c:v>
                </c:pt>
                <c:pt idx="151">
                  <c:v>6043.3122161057836</c:v>
                </c:pt>
                <c:pt idx="152">
                  <c:v>6005.7761153846295</c:v>
                </c:pt>
                <c:pt idx="153">
                  <c:v>5968.2400146634754</c:v>
                </c:pt>
                <c:pt idx="154">
                  <c:v>5930.7039139423214</c:v>
                </c:pt>
                <c:pt idx="155">
                  <c:v>5893.1678132211664</c:v>
                </c:pt>
                <c:pt idx="156">
                  <c:v>5855.6317125000123</c:v>
                </c:pt>
                <c:pt idx="157">
                  <c:v>5818.0956117788583</c:v>
                </c:pt>
                <c:pt idx="158">
                  <c:v>5780.5595110577042</c:v>
                </c:pt>
                <c:pt idx="159">
                  <c:v>5743.0234103365501</c:v>
                </c:pt>
                <c:pt idx="160">
                  <c:v>5705.487309615396</c:v>
                </c:pt>
                <c:pt idx="161">
                  <c:v>5667.951208894242</c:v>
                </c:pt>
                <c:pt idx="162">
                  <c:v>5630.4151081730879</c:v>
                </c:pt>
                <c:pt idx="163">
                  <c:v>5592.8790074519338</c:v>
                </c:pt>
                <c:pt idx="164">
                  <c:v>5555.3429067307798</c:v>
                </c:pt>
                <c:pt idx="165">
                  <c:v>5517.8068060096257</c:v>
                </c:pt>
                <c:pt idx="166">
                  <c:v>5480.2707052884716</c:v>
                </c:pt>
                <c:pt idx="167">
                  <c:v>5442.7346045673166</c:v>
                </c:pt>
                <c:pt idx="168">
                  <c:v>5405.1985038461626</c:v>
                </c:pt>
                <c:pt idx="169">
                  <c:v>5367.6624031250085</c:v>
                </c:pt>
                <c:pt idx="170">
                  <c:v>5330.1263024038544</c:v>
                </c:pt>
                <c:pt idx="171">
                  <c:v>5292.5902016827004</c:v>
                </c:pt>
                <c:pt idx="172">
                  <c:v>5255.0541009615463</c:v>
                </c:pt>
                <c:pt idx="173">
                  <c:v>5217.5180002403922</c:v>
                </c:pt>
                <c:pt idx="174">
                  <c:v>5179.9818995192381</c:v>
                </c:pt>
                <c:pt idx="175">
                  <c:v>5142.4457987980832</c:v>
                </c:pt>
                <c:pt idx="176">
                  <c:v>5104.9096980769291</c:v>
                </c:pt>
                <c:pt idx="177">
                  <c:v>5067.373597355775</c:v>
                </c:pt>
                <c:pt idx="178">
                  <c:v>5029.8374966346209</c:v>
                </c:pt>
                <c:pt idx="179">
                  <c:v>4992.3013959134669</c:v>
                </c:pt>
                <c:pt idx="180">
                  <c:v>4954.7652951923128</c:v>
                </c:pt>
                <c:pt idx="181">
                  <c:v>4917.2291944711587</c:v>
                </c:pt>
                <c:pt idx="182">
                  <c:v>4879.6930937500047</c:v>
                </c:pt>
                <c:pt idx="183">
                  <c:v>4842.1569930288506</c:v>
                </c:pt>
                <c:pt idx="184">
                  <c:v>4804.6208923076965</c:v>
                </c:pt>
                <c:pt idx="185">
                  <c:v>4767.0847915865425</c:v>
                </c:pt>
                <c:pt idx="186">
                  <c:v>4729.5486908653893</c:v>
                </c:pt>
                <c:pt idx="187">
                  <c:v>4692.0125901442361</c:v>
                </c:pt>
                <c:pt idx="188">
                  <c:v>4654.4764894230821</c:v>
                </c:pt>
                <c:pt idx="189">
                  <c:v>4616.940388701928</c:v>
                </c:pt>
                <c:pt idx="190">
                  <c:v>4579.4042879807748</c:v>
                </c:pt>
                <c:pt idx="191">
                  <c:v>4541.8681872596217</c:v>
                </c:pt>
                <c:pt idx="192">
                  <c:v>4504.3320865384676</c:v>
                </c:pt>
                <c:pt idx="193">
                  <c:v>4466.7959858173135</c:v>
                </c:pt>
                <c:pt idx="194">
                  <c:v>4429.2598850961604</c:v>
                </c:pt>
                <c:pt idx="195">
                  <c:v>4391.7237843750072</c:v>
                </c:pt>
                <c:pt idx="196">
                  <c:v>4354.1876836538531</c:v>
                </c:pt>
                <c:pt idx="197">
                  <c:v>4316.6515829326991</c:v>
                </c:pt>
                <c:pt idx="198">
                  <c:v>4279.1154822115459</c:v>
                </c:pt>
                <c:pt idx="199">
                  <c:v>4241.5793814903927</c:v>
                </c:pt>
                <c:pt idx="200">
                  <c:v>4204.0432807692387</c:v>
                </c:pt>
                <c:pt idx="201">
                  <c:v>4166.5071800480846</c:v>
                </c:pt>
                <c:pt idx="202">
                  <c:v>4128.9710793269314</c:v>
                </c:pt>
                <c:pt idx="203">
                  <c:v>4091.4349786057778</c:v>
                </c:pt>
                <c:pt idx="204">
                  <c:v>4053.8988778846247</c:v>
                </c:pt>
                <c:pt idx="205">
                  <c:v>4016.3627771634706</c:v>
                </c:pt>
                <c:pt idx="206">
                  <c:v>3978.826676442317</c:v>
                </c:pt>
                <c:pt idx="207">
                  <c:v>3941.2905757211633</c:v>
                </c:pt>
                <c:pt idx="208">
                  <c:v>3903.7544750000102</c:v>
                </c:pt>
                <c:pt idx="209">
                  <c:v>3866.2183742788561</c:v>
                </c:pt>
                <c:pt idx="210">
                  <c:v>3828.6822735577025</c:v>
                </c:pt>
                <c:pt idx="211">
                  <c:v>3791.1461728365489</c:v>
                </c:pt>
                <c:pt idx="212">
                  <c:v>3753.6100721153957</c:v>
                </c:pt>
                <c:pt idx="213">
                  <c:v>3716.0739713942417</c:v>
                </c:pt>
                <c:pt idx="214">
                  <c:v>3678.537870673088</c:v>
                </c:pt>
                <c:pt idx="215">
                  <c:v>3641.0017699519344</c:v>
                </c:pt>
                <c:pt idx="216">
                  <c:v>3603.4656692307813</c:v>
                </c:pt>
                <c:pt idx="217">
                  <c:v>3565.9295685096272</c:v>
                </c:pt>
                <c:pt idx="218">
                  <c:v>3528.3934677884736</c:v>
                </c:pt>
                <c:pt idx="219">
                  <c:v>3490.85736706732</c:v>
                </c:pt>
                <c:pt idx="220">
                  <c:v>3453.3212663461668</c:v>
                </c:pt>
                <c:pt idx="221">
                  <c:v>3415.7851656250127</c:v>
                </c:pt>
                <c:pt idx="222">
                  <c:v>3378.2490649038591</c:v>
                </c:pt>
                <c:pt idx="223">
                  <c:v>3340.7129641827055</c:v>
                </c:pt>
                <c:pt idx="224">
                  <c:v>3303.1768634615523</c:v>
                </c:pt>
                <c:pt idx="225">
                  <c:v>3265.6407627403983</c:v>
                </c:pt>
                <c:pt idx="226">
                  <c:v>3228.1046620192446</c:v>
                </c:pt>
                <c:pt idx="227">
                  <c:v>3190.568561298091</c:v>
                </c:pt>
                <c:pt idx="228">
                  <c:v>3153.0324605769379</c:v>
                </c:pt>
                <c:pt idx="229">
                  <c:v>3115.4963598557838</c:v>
                </c:pt>
                <c:pt idx="230">
                  <c:v>3077.9602591346302</c:v>
                </c:pt>
                <c:pt idx="231">
                  <c:v>3040.4241584134766</c:v>
                </c:pt>
                <c:pt idx="232">
                  <c:v>3002.8880576923234</c:v>
                </c:pt>
                <c:pt idx="233">
                  <c:v>2965.3519569711693</c:v>
                </c:pt>
                <c:pt idx="234">
                  <c:v>2927.8158562500157</c:v>
                </c:pt>
                <c:pt idx="235">
                  <c:v>2890.2797555288621</c:v>
                </c:pt>
                <c:pt idx="236">
                  <c:v>2852.7436548077089</c:v>
                </c:pt>
                <c:pt idx="237">
                  <c:v>2815.2075540865549</c:v>
                </c:pt>
                <c:pt idx="238">
                  <c:v>2777.6714533654012</c:v>
                </c:pt>
                <c:pt idx="239">
                  <c:v>2740.1353526442476</c:v>
                </c:pt>
                <c:pt idx="240">
                  <c:v>2702.599251923094</c:v>
                </c:pt>
                <c:pt idx="241">
                  <c:v>2665.0631512019404</c:v>
                </c:pt>
                <c:pt idx="242">
                  <c:v>2627.5270504807872</c:v>
                </c:pt>
                <c:pt idx="243">
                  <c:v>2589.9909497596332</c:v>
                </c:pt>
                <c:pt idx="244">
                  <c:v>2552.45484903848</c:v>
                </c:pt>
                <c:pt idx="245">
                  <c:v>2514.9187483173259</c:v>
                </c:pt>
                <c:pt idx="246">
                  <c:v>2477.3826475961728</c:v>
                </c:pt>
                <c:pt idx="247">
                  <c:v>2439.8465468750187</c:v>
                </c:pt>
                <c:pt idx="248">
                  <c:v>2402.3104461538655</c:v>
                </c:pt>
                <c:pt idx="249">
                  <c:v>2364.7743454327115</c:v>
                </c:pt>
                <c:pt idx="250">
                  <c:v>2327.2382447115583</c:v>
                </c:pt>
                <c:pt idx="251">
                  <c:v>2289.7021439904042</c:v>
                </c:pt>
                <c:pt idx="252">
                  <c:v>2252.1660432692511</c:v>
                </c:pt>
                <c:pt idx="253">
                  <c:v>2214.629942548097</c:v>
                </c:pt>
                <c:pt idx="254">
                  <c:v>2177.0938418269438</c:v>
                </c:pt>
                <c:pt idx="255">
                  <c:v>2139.5577411057898</c:v>
                </c:pt>
                <c:pt idx="256">
                  <c:v>2102.0216403846366</c:v>
                </c:pt>
                <c:pt idx="257">
                  <c:v>2064.4855396634825</c:v>
                </c:pt>
                <c:pt idx="258">
                  <c:v>2026.9494389423292</c:v>
                </c:pt>
                <c:pt idx="259">
                  <c:v>1989.4133382211755</c:v>
                </c:pt>
                <c:pt idx="260">
                  <c:v>1951.8772375000219</c:v>
                </c:pt>
                <c:pt idx="261">
                  <c:v>1914.3411367788683</c:v>
                </c:pt>
                <c:pt idx="262">
                  <c:v>1876.8050360577147</c:v>
                </c:pt>
                <c:pt idx="263">
                  <c:v>1839.2689353365611</c:v>
                </c:pt>
                <c:pt idx="264">
                  <c:v>1801.7328346154075</c:v>
                </c:pt>
                <c:pt idx="265">
                  <c:v>1764.1967338942538</c:v>
                </c:pt>
                <c:pt idx="266">
                  <c:v>1726.6606331731002</c:v>
                </c:pt>
                <c:pt idx="267">
                  <c:v>1689.1245324519466</c:v>
                </c:pt>
                <c:pt idx="268">
                  <c:v>1651.588431730793</c:v>
                </c:pt>
                <c:pt idx="269">
                  <c:v>1614.0523310096394</c:v>
                </c:pt>
                <c:pt idx="270">
                  <c:v>1576.5162302884858</c:v>
                </c:pt>
                <c:pt idx="271">
                  <c:v>1538.9801295673321</c:v>
                </c:pt>
                <c:pt idx="272">
                  <c:v>1501.4440288461785</c:v>
                </c:pt>
                <c:pt idx="273">
                  <c:v>1463.9079281250249</c:v>
                </c:pt>
                <c:pt idx="274">
                  <c:v>1426.3718274038713</c:v>
                </c:pt>
                <c:pt idx="275">
                  <c:v>1388.8357266827177</c:v>
                </c:pt>
                <c:pt idx="276">
                  <c:v>1351.2996259615641</c:v>
                </c:pt>
                <c:pt idx="277">
                  <c:v>1313.7635252404104</c:v>
                </c:pt>
                <c:pt idx="278">
                  <c:v>1276.2274245192568</c:v>
                </c:pt>
                <c:pt idx="279">
                  <c:v>1238.6913237981032</c:v>
                </c:pt>
                <c:pt idx="280">
                  <c:v>1201.1552230769496</c:v>
                </c:pt>
                <c:pt idx="281">
                  <c:v>1163.619122355796</c:v>
                </c:pt>
                <c:pt idx="282">
                  <c:v>1126.0830216346421</c:v>
                </c:pt>
                <c:pt idx="283">
                  <c:v>1088.5469209134883</c:v>
                </c:pt>
                <c:pt idx="284">
                  <c:v>1051.0108201923347</c:v>
                </c:pt>
                <c:pt idx="285">
                  <c:v>1013.4747194711809</c:v>
                </c:pt>
                <c:pt idx="286">
                  <c:v>975.93861875002722</c:v>
                </c:pt>
                <c:pt idx="287">
                  <c:v>938.40251802887349</c:v>
                </c:pt>
                <c:pt idx="288">
                  <c:v>900.86641730771964</c:v>
                </c:pt>
                <c:pt idx="289">
                  <c:v>863.33031658656591</c:v>
                </c:pt>
                <c:pt idx="290">
                  <c:v>825.7942158654123</c:v>
                </c:pt>
                <c:pt idx="291">
                  <c:v>788.25811514425857</c:v>
                </c:pt>
                <c:pt idx="292">
                  <c:v>750.72201442310472</c:v>
                </c:pt>
                <c:pt idx="293">
                  <c:v>713.18591370195099</c:v>
                </c:pt>
                <c:pt idx="294">
                  <c:v>675.64981298079726</c:v>
                </c:pt>
                <c:pt idx="295">
                  <c:v>638.11371225964353</c:v>
                </c:pt>
                <c:pt idx="296">
                  <c:v>600.5776115384898</c:v>
                </c:pt>
                <c:pt idx="297">
                  <c:v>563.04151081733607</c:v>
                </c:pt>
                <c:pt idx="298">
                  <c:v>525.50541009618235</c:v>
                </c:pt>
                <c:pt idx="299">
                  <c:v>487.96930937502867</c:v>
                </c:pt>
                <c:pt idx="300">
                  <c:v>450.433208653875</c:v>
                </c:pt>
                <c:pt idx="301">
                  <c:v>412.89710793272138</c:v>
                </c:pt>
                <c:pt idx="302">
                  <c:v>375.36100721156771</c:v>
                </c:pt>
                <c:pt idx="303">
                  <c:v>337.82490649041398</c:v>
                </c:pt>
                <c:pt idx="304">
                  <c:v>300.28880576926031</c:v>
                </c:pt>
                <c:pt idx="305">
                  <c:v>262.75270504810663</c:v>
                </c:pt>
                <c:pt idx="306">
                  <c:v>225.21660432695296</c:v>
                </c:pt>
                <c:pt idx="307">
                  <c:v>187.68050360579926</c:v>
                </c:pt>
                <c:pt idx="308">
                  <c:v>150.14440288464561</c:v>
                </c:pt>
                <c:pt idx="309">
                  <c:v>112.6083021634919</c:v>
                </c:pt>
                <c:pt idx="310">
                  <c:v>75.072201442338212</c:v>
                </c:pt>
                <c:pt idx="311">
                  <c:v>37.536100721184518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4D-4752-BB45-2A04426664AE}"/>
            </c:ext>
          </c:extLst>
        </c:ser>
        <c:ser>
          <c:idx val="1"/>
          <c:order val="1"/>
          <c:tx>
            <c:strRef>
              <c:f>'Dynamisk plan'!$AI$16</c:f>
              <c:strCache>
                <c:ptCount val="1"/>
                <c:pt idx="0">
                  <c:v>Termingebyr</c:v>
                </c:pt>
              </c:strCache>
            </c:strRef>
          </c:tx>
          <c:spPr>
            <a:solidFill>
              <a:srgbClr val="FF950E"/>
            </a:solidFill>
            <a:ln>
              <a:solidFill>
                <a:srgbClr val="000000"/>
              </a:solidFill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'Dynamisk plan'!$A$18:$A$377</c:f>
              <c:strCache>
                <c:ptCount val="360"/>
                <c:pt idx="0">
                  <c:v>Januar 2025</c:v>
                </c:pt>
                <c:pt idx="1">
                  <c:v>Februar 2025</c:v>
                </c:pt>
                <c:pt idx="2">
                  <c:v>Mars 2025</c:v>
                </c:pt>
                <c:pt idx="3">
                  <c:v>April 2025</c:v>
                </c:pt>
                <c:pt idx="4">
                  <c:v>Mai 2025</c:v>
                </c:pt>
                <c:pt idx="5">
                  <c:v>Juni 2025</c:v>
                </c:pt>
                <c:pt idx="6">
                  <c:v>Juli 2025</c:v>
                </c:pt>
                <c:pt idx="7">
                  <c:v>August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Desember 2025</c:v>
                </c:pt>
                <c:pt idx="12">
                  <c:v>Januar 2026</c:v>
                </c:pt>
                <c:pt idx="13">
                  <c:v>Februar 2026</c:v>
                </c:pt>
                <c:pt idx="14">
                  <c:v>Mars 2026</c:v>
                </c:pt>
                <c:pt idx="15">
                  <c:v>April 2026</c:v>
                </c:pt>
                <c:pt idx="16">
                  <c:v>Mai 2026</c:v>
                </c:pt>
                <c:pt idx="17">
                  <c:v>Juni 2026</c:v>
                </c:pt>
                <c:pt idx="18">
                  <c:v>Juli 2026</c:v>
                </c:pt>
                <c:pt idx="19">
                  <c:v>August 2026</c:v>
                </c:pt>
                <c:pt idx="20">
                  <c:v>September 2026</c:v>
                </c:pt>
                <c:pt idx="21">
                  <c:v>Oktober 2026</c:v>
                </c:pt>
                <c:pt idx="22">
                  <c:v>November 2026</c:v>
                </c:pt>
                <c:pt idx="23">
                  <c:v>Desember 2026</c:v>
                </c:pt>
                <c:pt idx="24">
                  <c:v>Januar 2027</c:v>
                </c:pt>
                <c:pt idx="25">
                  <c:v>Februar 2027</c:v>
                </c:pt>
                <c:pt idx="26">
                  <c:v>Mars 2027</c:v>
                </c:pt>
                <c:pt idx="27">
                  <c:v>April 2027</c:v>
                </c:pt>
                <c:pt idx="28">
                  <c:v>Mai 2027</c:v>
                </c:pt>
                <c:pt idx="29">
                  <c:v>Juni 2027</c:v>
                </c:pt>
                <c:pt idx="30">
                  <c:v>Juli 2027</c:v>
                </c:pt>
                <c:pt idx="31">
                  <c:v>August 2027</c:v>
                </c:pt>
                <c:pt idx="32">
                  <c:v>September 2027</c:v>
                </c:pt>
                <c:pt idx="33">
                  <c:v>Oktober 2027</c:v>
                </c:pt>
                <c:pt idx="34">
                  <c:v>November 2027</c:v>
                </c:pt>
                <c:pt idx="35">
                  <c:v>Desember 2027</c:v>
                </c:pt>
                <c:pt idx="36">
                  <c:v>Januar 2028</c:v>
                </c:pt>
                <c:pt idx="37">
                  <c:v>Februar 2028</c:v>
                </c:pt>
                <c:pt idx="38">
                  <c:v>Mars 2028</c:v>
                </c:pt>
                <c:pt idx="39">
                  <c:v>April 2028</c:v>
                </c:pt>
                <c:pt idx="40">
                  <c:v>Mai 2028</c:v>
                </c:pt>
                <c:pt idx="41">
                  <c:v>Juni 2028</c:v>
                </c:pt>
                <c:pt idx="42">
                  <c:v>Juli 2028</c:v>
                </c:pt>
                <c:pt idx="43">
                  <c:v>August 2028</c:v>
                </c:pt>
                <c:pt idx="44">
                  <c:v>September 2028</c:v>
                </c:pt>
                <c:pt idx="45">
                  <c:v>Oktober 2028</c:v>
                </c:pt>
                <c:pt idx="46">
                  <c:v>November 2028</c:v>
                </c:pt>
                <c:pt idx="47">
                  <c:v>Desember 2028</c:v>
                </c:pt>
                <c:pt idx="48">
                  <c:v>Januar 2029</c:v>
                </c:pt>
                <c:pt idx="49">
                  <c:v>Februar 2029</c:v>
                </c:pt>
                <c:pt idx="50">
                  <c:v>Mars 2029</c:v>
                </c:pt>
                <c:pt idx="51">
                  <c:v>April 2029</c:v>
                </c:pt>
                <c:pt idx="52">
                  <c:v>Mai 2029</c:v>
                </c:pt>
                <c:pt idx="53">
                  <c:v>Juni 2029</c:v>
                </c:pt>
                <c:pt idx="54">
                  <c:v>Juli 2029</c:v>
                </c:pt>
                <c:pt idx="55">
                  <c:v>August 2029</c:v>
                </c:pt>
                <c:pt idx="56">
                  <c:v>September 2029</c:v>
                </c:pt>
                <c:pt idx="57">
                  <c:v>Oktober 2029</c:v>
                </c:pt>
                <c:pt idx="58">
                  <c:v>November 2029</c:v>
                </c:pt>
                <c:pt idx="59">
                  <c:v>Desember 2029</c:v>
                </c:pt>
                <c:pt idx="60">
                  <c:v>Januar 2030</c:v>
                </c:pt>
                <c:pt idx="61">
                  <c:v>Februar 2030</c:v>
                </c:pt>
                <c:pt idx="62">
                  <c:v>Mars 2030</c:v>
                </c:pt>
                <c:pt idx="63">
                  <c:v>April 2030</c:v>
                </c:pt>
                <c:pt idx="64">
                  <c:v>Mai 2030</c:v>
                </c:pt>
                <c:pt idx="65">
                  <c:v>Juni 2030</c:v>
                </c:pt>
                <c:pt idx="66">
                  <c:v>Juli 2030</c:v>
                </c:pt>
                <c:pt idx="67">
                  <c:v>August 2030</c:v>
                </c:pt>
                <c:pt idx="68">
                  <c:v>September 2030</c:v>
                </c:pt>
                <c:pt idx="69">
                  <c:v>Oktober 2030</c:v>
                </c:pt>
                <c:pt idx="70">
                  <c:v>November 2030</c:v>
                </c:pt>
                <c:pt idx="71">
                  <c:v>Desember 2030</c:v>
                </c:pt>
                <c:pt idx="72">
                  <c:v>Januar 2031</c:v>
                </c:pt>
                <c:pt idx="73">
                  <c:v>Februar 2031</c:v>
                </c:pt>
                <c:pt idx="74">
                  <c:v>Mars 2031</c:v>
                </c:pt>
                <c:pt idx="75">
                  <c:v>April 2031</c:v>
                </c:pt>
                <c:pt idx="76">
                  <c:v>Mai 2031</c:v>
                </c:pt>
                <c:pt idx="77">
                  <c:v>Juni 2031</c:v>
                </c:pt>
                <c:pt idx="78">
                  <c:v>Juli 2031</c:v>
                </c:pt>
                <c:pt idx="79">
                  <c:v>August 2031</c:v>
                </c:pt>
                <c:pt idx="80">
                  <c:v>September 2031</c:v>
                </c:pt>
                <c:pt idx="81">
                  <c:v>Oktober 2031</c:v>
                </c:pt>
                <c:pt idx="82">
                  <c:v>November 2031</c:v>
                </c:pt>
                <c:pt idx="83">
                  <c:v>Desember 2031</c:v>
                </c:pt>
                <c:pt idx="84">
                  <c:v>Januar 2032</c:v>
                </c:pt>
                <c:pt idx="85">
                  <c:v>Februar 2032</c:v>
                </c:pt>
                <c:pt idx="86">
                  <c:v>Mars 2032</c:v>
                </c:pt>
                <c:pt idx="87">
                  <c:v>April 2032</c:v>
                </c:pt>
                <c:pt idx="88">
                  <c:v>Mai 2032</c:v>
                </c:pt>
                <c:pt idx="89">
                  <c:v>Juni 2032</c:v>
                </c:pt>
                <c:pt idx="90">
                  <c:v>Juli 2032</c:v>
                </c:pt>
                <c:pt idx="91">
                  <c:v>August 2032</c:v>
                </c:pt>
                <c:pt idx="92">
                  <c:v>September 2032</c:v>
                </c:pt>
                <c:pt idx="93">
                  <c:v>Oktober 2032</c:v>
                </c:pt>
                <c:pt idx="94">
                  <c:v>November 2032</c:v>
                </c:pt>
                <c:pt idx="95">
                  <c:v>Desember 2032</c:v>
                </c:pt>
                <c:pt idx="96">
                  <c:v>Januar 2033</c:v>
                </c:pt>
                <c:pt idx="97">
                  <c:v>Februar 2033</c:v>
                </c:pt>
                <c:pt idx="98">
                  <c:v>Mars 2033</c:v>
                </c:pt>
                <c:pt idx="99">
                  <c:v>April 2033</c:v>
                </c:pt>
                <c:pt idx="100">
                  <c:v>Mai 2033</c:v>
                </c:pt>
                <c:pt idx="101">
                  <c:v>Juni 2033</c:v>
                </c:pt>
                <c:pt idx="102">
                  <c:v>Juli 2033</c:v>
                </c:pt>
                <c:pt idx="103">
                  <c:v>August 2033</c:v>
                </c:pt>
                <c:pt idx="104">
                  <c:v>September 2033</c:v>
                </c:pt>
                <c:pt idx="105">
                  <c:v>Oktober 2033</c:v>
                </c:pt>
                <c:pt idx="106">
                  <c:v>November 2033</c:v>
                </c:pt>
                <c:pt idx="107">
                  <c:v>Desember 2033</c:v>
                </c:pt>
                <c:pt idx="108">
                  <c:v>Januar 2034</c:v>
                </c:pt>
                <c:pt idx="109">
                  <c:v>Februar 2034</c:v>
                </c:pt>
                <c:pt idx="110">
                  <c:v>Mars 2034</c:v>
                </c:pt>
                <c:pt idx="111">
                  <c:v>April 2034</c:v>
                </c:pt>
                <c:pt idx="112">
                  <c:v>Mai 2034</c:v>
                </c:pt>
                <c:pt idx="113">
                  <c:v>Juni 2034</c:v>
                </c:pt>
                <c:pt idx="114">
                  <c:v>Juli 2034</c:v>
                </c:pt>
                <c:pt idx="115">
                  <c:v>August 2034</c:v>
                </c:pt>
                <c:pt idx="116">
                  <c:v>September 2034</c:v>
                </c:pt>
                <c:pt idx="117">
                  <c:v>Oktober 2034</c:v>
                </c:pt>
                <c:pt idx="118">
                  <c:v>November 2034</c:v>
                </c:pt>
                <c:pt idx="119">
                  <c:v>Desember 2034</c:v>
                </c:pt>
                <c:pt idx="120">
                  <c:v>Januar 2035</c:v>
                </c:pt>
                <c:pt idx="121">
                  <c:v>Februar 2035</c:v>
                </c:pt>
                <c:pt idx="122">
                  <c:v>Mars 2035</c:v>
                </c:pt>
                <c:pt idx="123">
                  <c:v>April 2035</c:v>
                </c:pt>
                <c:pt idx="124">
                  <c:v>Mai 2035</c:v>
                </c:pt>
                <c:pt idx="125">
                  <c:v>Juni 2035</c:v>
                </c:pt>
                <c:pt idx="126">
                  <c:v>Juli 2035</c:v>
                </c:pt>
                <c:pt idx="127">
                  <c:v>August 2035</c:v>
                </c:pt>
                <c:pt idx="128">
                  <c:v>September 2035</c:v>
                </c:pt>
                <c:pt idx="129">
                  <c:v>Oktober 2035</c:v>
                </c:pt>
                <c:pt idx="130">
                  <c:v>November 2035</c:v>
                </c:pt>
                <c:pt idx="131">
                  <c:v>Desember 2035</c:v>
                </c:pt>
                <c:pt idx="132">
                  <c:v>Januar 2036</c:v>
                </c:pt>
                <c:pt idx="133">
                  <c:v>Februar 2036</c:v>
                </c:pt>
                <c:pt idx="134">
                  <c:v>Mars 2036</c:v>
                </c:pt>
                <c:pt idx="135">
                  <c:v>April 2036</c:v>
                </c:pt>
                <c:pt idx="136">
                  <c:v>Mai 2036</c:v>
                </c:pt>
                <c:pt idx="137">
                  <c:v>Juni 2036</c:v>
                </c:pt>
                <c:pt idx="138">
                  <c:v>Juli 2036</c:v>
                </c:pt>
                <c:pt idx="139">
                  <c:v>August 2036</c:v>
                </c:pt>
                <c:pt idx="140">
                  <c:v>September 2036</c:v>
                </c:pt>
                <c:pt idx="141">
                  <c:v>Oktober 2036</c:v>
                </c:pt>
                <c:pt idx="142">
                  <c:v>November 2036</c:v>
                </c:pt>
                <c:pt idx="143">
                  <c:v>Desember 2036</c:v>
                </c:pt>
                <c:pt idx="144">
                  <c:v>Januar 2037</c:v>
                </c:pt>
                <c:pt idx="145">
                  <c:v>Februar 2037</c:v>
                </c:pt>
                <c:pt idx="146">
                  <c:v>Mars 2037</c:v>
                </c:pt>
                <c:pt idx="147">
                  <c:v>April 2037</c:v>
                </c:pt>
                <c:pt idx="148">
                  <c:v>Mai 2037</c:v>
                </c:pt>
                <c:pt idx="149">
                  <c:v>Juni 2037</c:v>
                </c:pt>
                <c:pt idx="150">
                  <c:v>Juli 2037</c:v>
                </c:pt>
                <c:pt idx="151">
                  <c:v>August 2037</c:v>
                </c:pt>
                <c:pt idx="152">
                  <c:v>September 2037</c:v>
                </c:pt>
                <c:pt idx="153">
                  <c:v>Oktober 2037</c:v>
                </c:pt>
                <c:pt idx="154">
                  <c:v>November 2037</c:v>
                </c:pt>
                <c:pt idx="155">
                  <c:v>Desember 2037</c:v>
                </c:pt>
                <c:pt idx="156">
                  <c:v>Januar 2038</c:v>
                </c:pt>
                <c:pt idx="157">
                  <c:v>Februar 2038</c:v>
                </c:pt>
                <c:pt idx="158">
                  <c:v>Mars 2038</c:v>
                </c:pt>
                <c:pt idx="159">
                  <c:v>April 2038</c:v>
                </c:pt>
                <c:pt idx="160">
                  <c:v>Mai 2038</c:v>
                </c:pt>
                <c:pt idx="161">
                  <c:v>Juni 2038</c:v>
                </c:pt>
                <c:pt idx="162">
                  <c:v>Juli 2038</c:v>
                </c:pt>
                <c:pt idx="163">
                  <c:v>August 2038</c:v>
                </c:pt>
                <c:pt idx="164">
                  <c:v>September 2038</c:v>
                </c:pt>
                <c:pt idx="165">
                  <c:v>Oktober 2038</c:v>
                </c:pt>
                <c:pt idx="166">
                  <c:v>November 2038</c:v>
                </c:pt>
                <c:pt idx="167">
                  <c:v>Desember 2038</c:v>
                </c:pt>
                <c:pt idx="168">
                  <c:v>Januar 2039</c:v>
                </c:pt>
                <c:pt idx="169">
                  <c:v>Februar 2039</c:v>
                </c:pt>
                <c:pt idx="170">
                  <c:v>Mars 2039</c:v>
                </c:pt>
                <c:pt idx="171">
                  <c:v>April 2039</c:v>
                </c:pt>
                <c:pt idx="172">
                  <c:v>Mai 2039</c:v>
                </c:pt>
                <c:pt idx="173">
                  <c:v>Juni 2039</c:v>
                </c:pt>
                <c:pt idx="174">
                  <c:v>Juli 2039</c:v>
                </c:pt>
                <c:pt idx="175">
                  <c:v>August 2039</c:v>
                </c:pt>
                <c:pt idx="176">
                  <c:v>September 2039</c:v>
                </c:pt>
                <c:pt idx="177">
                  <c:v>Oktober 2039</c:v>
                </c:pt>
                <c:pt idx="178">
                  <c:v>November 2039</c:v>
                </c:pt>
                <c:pt idx="179">
                  <c:v>Desember 2039</c:v>
                </c:pt>
                <c:pt idx="180">
                  <c:v>Januar 2040</c:v>
                </c:pt>
                <c:pt idx="181">
                  <c:v>Februar 2040</c:v>
                </c:pt>
                <c:pt idx="182">
                  <c:v>Mars 2040</c:v>
                </c:pt>
                <c:pt idx="183">
                  <c:v>April 2040</c:v>
                </c:pt>
                <c:pt idx="184">
                  <c:v>Mai 2040</c:v>
                </c:pt>
                <c:pt idx="185">
                  <c:v>Juni 2040</c:v>
                </c:pt>
                <c:pt idx="186">
                  <c:v>Juli 2040</c:v>
                </c:pt>
                <c:pt idx="187">
                  <c:v>August 2040</c:v>
                </c:pt>
                <c:pt idx="188">
                  <c:v>September 2040</c:v>
                </c:pt>
                <c:pt idx="189">
                  <c:v>Oktober 2040</c:v>
                </c:pt>
                <c:pt idx="190">
                  <c:v>November 2040</c:v>
                </c:pt>
                <c:pt idx="191">
                  <c:v>Desember 2040</c:v>
                </c:pt>
                <c:pt idx="192">
                  <c:v>Januar 2041</c:v>
                </c:pt>
                <c:pt idx="193">
                  <c:v>Februar 2041</c:v>
                </c:pt>
                <c:pt idx="194">
                  <c:v>Mars 2041</c:v>
                </c:pt>
                <c:pt idx="195">
                  <c:v>April 2041</c:v>
                </c:pt>
                <c:pt idx="196">
                  <c:v>Mai 2041</c:v>
                </c:pt>
                <c:pt idx="197">
                  <c:v>Juni 2041</c:v>
                </c:pt>
                <c:pt idx="198">
                  <c:v>Juli 2041</c:v>
                </c:pt>
                <c:pt idx="199">
                  <c:v>August 2041</c:v>
                </c:pt>
                <c:pt idx="200">
                  <c:v>September 2041</c:v>
                </c:pt>
                <c:pt idx="201">
                  <c:v>Oktober 2041</c:v>
                </c:pt>
                <c:pt idx="202">
                  <c:v>November 2041</c:v>
                </c:pt>
                <c:pt idx="203">
                  <c:v>Desember 2041</c:v>
                </c:pt>
                <c:pt idx="204">
                  <c:v>Januar 2042</c:v>
                </c:pt>
                <c:pt idx="205">
                  <c:v>Februar 2042</c:v>
                </c:pt>
                <c:pt idx="206">
                  <c:v>Mars 2042</c:v>
                </c:pt>
                <c:pt idx="207">
                  <c:v>April 2042</c:v>
                </c:pt>
                <c:pt idx="208">
                  <c:v>Mai 2042</c:v>
                </c:pt>
                <c:pt idx="209">
                  <c:v>Juni 2042</c:v>
                </c:pt>
                <c:pt idx="210">
                  <c:v>Juli 2042</c:v>
                </c:pt>
                <c:pt idx="211">
                  <c:v>August 2042</c:v>
                </c:pt>
                <c:pt idx="212">
                  <c:v>September 2042</c:v>
                </c:pt>
                <c:pt idx="213">
                  <c:v>Oktober 2042</c:v>
                </c:pt>
                <c:pt idx="214">
                  <c:v>November 2042</c:v>
                </c:pt>
                <c:pt idx="215">
                  <c:v>Desember 2042</c:v>
                </c:pt>
                <c:pt idx="216">
                  <c:v>Januar 2043</c:v>
                </c:pt>
                <c:pt idx="217">
                  <c:v>Februar 2043</c:v>
                </c:pt>
                <c:pt idx="218">
                  <c:v>Mars 2043</c:v>
                </c:pt>
                <c:pt idx="219">
                  <c:v>April 2043</c:v>
                </c:pt>
                <c:pt idx="220">
                  <c:v>Mai 2043</c:v>
                </c:pt>
                <c:pt idx="221">
                  <c:v>Juni 2043</c:v>
                </c:pt>
                <c:pt idx="222">
                  <c:v>Juli 2043</c:v>
                </c:pt>
                <c:pt idx="223">
                  <c:v>August 2043</c:v>
                </c:pt>
                <c:pt idx="224">
                  <c:v>September 2043</c:v>
                </c:pt>
                <c:pt idx="225">
                  <c:v>Oktober 2043</c:v>
                </c:pt>
                <c:pt idx="226">
                  <c:v>November 2043</c:v>
                </c:pt>
                <c:pt idx="227">
                  <c:v>Desember 2043</c:v>
                </c:pt>
                <c:pt idx="228">
                  <c:v>Januar 2044</c:v>
                </c:pt>
                <c:pt idx="229">
                  <c:v>Februar 2044</c:v>
                </c:pt>
                <c:pt idx="230">
                  <c:v>Mars 2044</c:v>
                </c:pt>
                <c:pt idx="231">
                  <c:v>April 2044</c:v>
                </c:pt>
                <c:pt idx="232">
                  <c:v>Mai 2044</c:v>
                </c:pt>
                <c:pt idx="233">
                  <c:v>Juni 2044</c:v>
                </c:pt>
                <c:pt idx="234">
                  <c:v>Juli 2044</c:v>
                </c:pt>
                <c:pt idx="235">
                  <c:v>August 2044</c:v>
                </c:pt>
                <c:pt idx="236">
                  <c:v>September 2044</c:v>
                </c:pt>
                <c:pt idx="237">
                  <c:v>Oktober 2044</c:v>
                </c:pt>
                <c:pt idx="238">
                  <c:v>November 2044</c:v>
                </c:pt>
                <c:pt idx="239">
                  <c:v>Desember 2044</c:v>
                </c:pt>
                <c:pt idx="240">
                  <c:v>Januar 2045</c:v>
                </c:pt>
                <c:pt idx="241">
                  <c:v>Februar 2045</c:v>
                </c:pt>
                <c:pt idx="242">
                  <c:v>Mars 2045</c:v>
                </c:pt>
                <c:pt idx="243">
                  <c:v>April 2045</c:v>
                </c:pt>
                <c:pt idx="244">
                  <c:v>Mai 2045</c:v>
                </c:pt>
                <c:pt idx="245">
                  <c:v>Juni 2045</c:v>
                </c:pt>
                <c:pt idx="246">
                  <c:v>Juli 2045</c:v>
                </c:pt>
                <c:pt idx="247">
                  <c:v>August 2045</c:v>
                </c:pt>
                <c:pt idx="248">
                  <c:v>September 2045</c:v>
                </c:pt>
                <c:pt idx="249">
                  <c:v>Oktober 2045</c:v>
                </c:pt>
                <c:pt idx="250">
                  <c:v>November 2045</c:v>
                </c:pt>
                <c:pt idx="251">
                  <c:v>Desember 2045</c:v>
                </c:pt>
                <c:pt idx="252">
                  <c:v>Januar 2046</c:v>
                </c:pt>
                <c:pt idx="253">
                  <c:v>Februar 2046</c:v>
                </c:pt>
                <c:pt idx="254">
                  <c:v>Mars 2046</c:v>
                </c:pt>
                <c:pt idx="255">
                  <c:v>April 2046</c:v>
                </c:pt>
                <c:pt idx="256">
                  <c:v>Mai 2046</c:v>
                </c:pt>
                <c:pt idx="257">
                  <c:v>Juni 2046</c:v>
                </c:pt>
                <c:pt idx="258">
                  <c:v>Juli 2046</c:v>
                </c:pt>
                <c:pt idx="259">
                  <c:v>August 2046</c:v>
                </c:pt>
                <c:pt idx="260">
                  <c:v>September 2046</c:v>
                </c:pt>
                <c:pt idx="261">
                  <c:v>Oktober 2046</c:v>
                </c:pt>
                <c:pt idx="262">
                  <c:v>November 2046</c:v>
                </c:pt>
                <c:pt idx="263">
                  <c:v>Desember 2046</c:v>
                </c:pt>
                <c:pt idx="264">
                  <c:v>Januar 2047</c:v>
                </c:pt>
                <c:pt idx="265">
                  <c:v>Februar 2047</c:v>
                </c:pt>
                <c:pt idx="266">
                  <c:v>Mars 2047</c:v>
                </c:pt>
                <c:pt idx="267">
                  <c:v>April 2047</c:v>
                </c:pt>
                <c:pt idx="268">
                  <c:v>Mai 2047</c:v>
                </c:pt>
                <c:pt idx="269">
                  <c:v>Juni 2047</c:v>
                </c:pt>
                <c:pt idx="270">
                  <c:v>Juli 2047</c:v>
                </c:pt>
                <c:pt idx="271">
                  <c:v>August 2047</c:v>
                </c:pt>
                <c:pt idx="272">
                  <c:v>September 2047</c:v>
                </c:pt>
                <c:pt idx="273">
                  <c:v>Oktober 2047</c:v>
                </c:pt>
                <c:pt idx="274">
                  <c:v>November 2047</c:v>
                </c:pt>
                <c:pt idx="275">
                  <c:v>Desember 2047</c:v>
                </c:pt>
                <c:pt idx="276">
                  <c:v>Januar 2048</c:v>
                </c:pt>
                <c:pt idx="277">
                  <c:v>Februar 2048</c:v>
                </c:pt>
                <c:pt idx="278">
                  <c:v>Mars 2048</c:v>
                </c:pt>
                <c:pt idx="279">
                  <c:v>April 2048</c:v>
                </c:pt>
                <c:pt idx="280">
                  <c:v>Mai 2048</c:v>
                </c:pt>
                <c:pt idx="281">
                  <c:v>Juni 2048</c:v>
                </c:pt>
                <c:pt idx="282">
                  <c:v>Juli 2048</c:v>
                </c:pt>
                <c:pt idx="283">
                  <c:v>August 2048</c:v>
                </c:pt>
                <c:pt idx="284">
                  <c:v>September 2048</c:v>
                </c:pt>
                <c:pt idx="285">
                  <c:v>Oktober 2048</c:v>
                </c:pt>
                <c:pt idx="286">
                  <c:v>November 2048</c:v>
                </c:pt>
                <c:pt idx="287">
                  <c:v>Desember 2048</c:v>
                </c:pt>
                <c:pt idx="288">
                  <c:v>Januar 2049</c:v>
                </c:pt>
                <c:pt idx="289">
                  <c:v>Februar 2049</c:v>
                </c:pt>
                <c:pt idx="290">
                  <c:v>Mars 2049</c:v>
                </c:pt>
                <c:pt idx="291">
                  <c:v>April 2049</c:v>
                </c:pt>
                <c:pt idx="292">
                  <c:v>Mai 2049</c:v>
                </c:pt>
                <c:pt idx="293">
                  <c:v>Juni 2049</c:v>
                </c:pt>
                <c:pt idx="294">
                  <c:v>Juli 2049</c:v>
                </c:pt>
                <c:pt idx="295">
                  <c:v>August 2049</c:v>
                </c:pt>
                <c:pt idx="296">
                  <c:v>September 2049</c:v>
                </c:pt>
                <c:pt idx="297">
                  <c:v>Oktober 2049</c:v>
                </c:pt>
                <c:pt idx="298">
                  <c:v>November 2049</c:v>
                </c:pt>
                <c:pt idx="299">
                  <c:v>Desember 2049</c:v>
                </c:pt>
                <c:pt idx="300">
                  <c:v>Januar 2050</c:v>
                </c:pt>
                <c:pt idx="301">
                  <c:v>Februar 2050</c:v>
                </c:pt>
                <c:pt idx="302">
                  <c:v>Mars 2050</c:v>
                </c:pt>
                <c:pt idx="303">
                  <c:v>April 2050</c:v>
                </c:pt>
                <c:pt idx="304">
                  <c:v>Mai 2050</c:v>
                </c:pt>
                <c:pt idx="305">
                  <c:v>Juni 2050</c:v>
                </c:pt>
                <c:pt idx="306">
                  <c:v>Juli 2050</c:v>
                </c:pt>
                <c:pt idx="307">
                  <c:v>August 2050</c:v>
                </c:pt>
                <c:pt idx="308">
                  <c:v>September 2050</c:v>
                </c:pt>
                <c:pt idx="309">
                  <c:v>Oktober 2050</c:v>
                </c:pt>
                <c:pt idx="310">
                  <c:v>November 2050</c:v>
                </c:pt>
                <c:pt idx="311">
                  <c:v>Desember 2050</c:v>
                </c:pt>
                <c:pt idx="312">
                  <c:v>Januar 2051</c:v>
                </c:pt>
                <c:pt idx="313">
                  <c:v>Februar 2051</c:v>
                </c:pt>
                <c:pt idx="314">
                  <c:v>Mars 2051</c:v>
                </c:pt>
                <c:pt idx="315">
                  <c:v>April 2051</c:v>
                </c:pt>
                <c:pt idx="316">
                  <c:v>Mai 2051</c:v>
                </c:pt>
                <c:pt idx="317">
                  <c:v>Juni 2051</c:v>
                </c:pt>
                <c:pt idx="318">
                  <c:v>Juli 2051</c:v>
                </c:pt>
                <c:pt idx="319">
                  <c:v>August 2051</c:v>
                </c:pt>
                <c:pt idx="320">
                  <c:v>September 2051</c:v>
                </c:pt>
                <c:pt idx="321">
                  <c:v>Oktober 2051</c:v>
                </c:pt>
                <c:pt idx="322">
                  <c:v>November 2051</c:v>
                </c:pt>
                <c:pt idx="323">
                  <c:v>Desember 2051</c:v>
                </c:pt>
                <c:pt idx="324">
                  <c:v>Januar 2052</c:v>
                </c:pt>
                <c:pt idx="325">
                  <c:v>Februar 2052</c:v>
                </c:pt>
                <c:pt idx="326">
                  <c:v>Mars 2052</c:v>
                </c:pt>
                <c:pt idx="327">
                  <c:v>April 2052</c:v>
                </c:pt>
                <c:pt idx="328">
                  <c:v>Mai 2052</c:v>
                </c:pt>
                <c:pt idx="329">
                  <c:v>Juni 2052</c:v>
                </c:pt>
                <c:pt idx="330">
                  <c:v>Juli 2052</c:v>
                </c:pt>
                <c:pt idx="331">
                  <c:v>August 2052</c:v>
                </c:pt>
                <c:pt idx="332">
                  <c:v>September 2052</c:v>
                </c:pt>
                <c:pt idx="333">
                  <c:v>Oktober 2052</c:v>
                </c:pt>
                <c:pt idx="334">
                  <c:v>November 2052</c:v>
                </c:pt>
                <c:pt idx="335">
                  <c:v>Desember 2052</c:v>
                </c:pt>
                <c:pt idx="336">
                  <c:v>Januar 2053</c:v>
                </c:pt>
                <c:pt idx="337">
                  <c:v>Februar 2053</c:v>
                </c:pt>
                <c:pt idx="338">
                  <c:v>Mars 2053</c:v>
                </c:pt>
                <c:pt idx="339">
                  <c:v>April 2053</c:v>
                </c:pt>
                <c:pt idx="340">
                  <c:v>Mai 2053</c:v>
                </c:pt>
                <c:pt idx="341">
                  <c:v>Juni 2053</c:v>
                </c:pt>
                <c:pt idx="342">
                  <c:v>Juli 2053</c:v>
                </c:pt>
                <c:pt idx="343">
                  <c:v>August 2053</c:v>
                </c:pt>
                <c:pt idx="344">
                  <c:v>September 2053</c:v>
                </c:pt>
                <c:pt idx="345">
                  <c:v>Oktober 2053</c:v>
                </c:pt>
                <c:pt idx="346">
                  <c:v>November 2053</c:v>
                </c:pt>
                <c:pt idx="347">
                  <c:v>Desember 2053</c:v>
                </c:pt>
                <c:pt idx="348">
                  <c:v>Januar 2054</c:v>
                </c:pt>
                <c:pt idx="349">
                  <c:v>Februar 2054</c:v>
                </c:pt>
                <c:pt idx="350">
                  <c:v>Mars 2054</c:v>
                </c:pt>
                <c:pt idx="351">
                  <c:v>April 2054</c:v>
                </c:pt>
                <c:pt idx="352">
                  <c:v>Mai 2054</c:v>
                </c:pt>
                <c:pt idx="353">
                  <c:v>Juni 2054</c:v>
                </c:pt>
                <c:pt idx="354">
                  <c:v>Juli 2054</c:v>
                </c:pt>
                <c:pt idx="355">
                  <c:v>August 2054</c:v>
                </c:pt>
                <c:pt idx="356">
                  <c:v>September 2054</c:v>
                </c:pt>
                <c:pt idx="357">
                  <c:v>Oktober 2054</c:v>
                </c:pt>
                <c:pt idx="358">
                  <c:v>November 2054</c:v>
                </c:pt>
                <c:pt idx="359">
                  <c:v>Desember 2054</c:v>
                </c:pt>
              </c:strCache>
            </c:strRef>
          </c:cat>
          <c:val>
            <c:numRef>
              <c:f>'Dynamisk plan'!$AI$18:$AI$377</c:f>
              <c:numCache>
                <c:formatCode>[$kr-414]\ #,##0;[Red]\-[$kr-414]\ #,##0</c:formatCode>
                <c:ptCount val="360"/>
                <c:pt idx="0">
                  <c:v>49</c:v>
                </c:pt>
                <c:pt idx="1">
                  <c:v>49</c:v>
                </c:pt>
                <c:pt idx="2">
                  <c:v>49</c:v>
                </c:pt>
                <c:pt idx="3">
                  <c:v>49</c:v>
                </c:pt>
                <c:pt idx="4">
                  <c:v>49</c:v>
                </c:pt>
                <c:pt idx="5">
                  <c:v>49</c:v>
                </c:pt>
                <c:pt idx="6">
                  <c:v>49</c:v>
                </c:pt>
                <c:pt idx="7">
                  <c:v>49</c:v>
                </c:pt>
                <c:pt idx="8">
                  <c:v>49</c:v>
                </c:pt>
                <c:pt idx="9">
                  <c:v>49</c:v>
                </c:pt>
                <c:pt idx="10">
                  <c:v>49</c:v>
                </c:pt>
                <c:pt idx="11">
                  <c:v>49</c:v>
                </c:pt>
                <c:pt idx="12">
                  <c:v>49</c:v>
                </c:pt>
                <c:pt idx="13">
                  <c:v>49</c:v>
                </c:pt>
                <c:pt idx="14">
                  <c:v>49</c:v>
                </c:pt>
                <c:pt idx="15">
                  <c:v>49</c:v>
                </c:pt>
                <c:pt idx="16">
                  <c:v>49</c:v>
                </c:pt>
                <c:pt idx="17">
                  <c:v>49</c:v>
                </c:pt>
                <c:pt idx="18">
                  <c:v>49</c:v>
                </c:pt>
                <c:pt idx="19">
                  <c:v>49</c:v>
                </c:pt>
                <c:pt idx="20">
                  <c:v>49</c:v>
                </c:pt>
                <c:pt idx="21">
                  <c:v>49</c:v>
                </c:pt>
                <c:pt idx="22">
                  <c:v>49</c:v>
                </c:pt>
                <c:pt idx="23">
                  <c:v>49</c:v>
                </c:pt>
                <c:pt idx="24">
                  <c:v>49</c:v>
                </c:pt>
                <c:pt idx="25">
                  <c:v>49</c:v>
                </c:pt>
                <c:pt idx="26">
                  <c:v>49</c:v>
                </c:pt>
                <c:pt idx="27">
                  <c:v>49</c:v>
                </c:pt>
                <c:pt idx="28">
                  <c:v>49</c:v>
                </c:pt>
                <c:pt idx="29">
                  <c:v>49</c:v>
                </c:pt>
                <c:pt idx="30">
                  <c:v>49</c:v>
                </c:pt>
                <c:pt idx="31">
                  <c:v>49</c:v>
                </c:pt>
                <c:pt idx="32">
                  <c:v>49</c:v>
                </c:pt>
                <c:pt idx="33">
                  <c:v>49</c:v>
                </c:pt>
                <c:pt idx="34">
                  <c:v>49</c:v>
                </c:pt>
                <c:pt idx="35">
                  <c:v>49</c:v>
                </c:pt>
                <c:pt idx="36">
                  <c:v>49</c:v>
                </c:pt>
                <c:pt idx="37">
                  <c:v>49</c:v>
                </c:pt>
                <c:pt idx="38">
                  <c:v>49</c:v>
                </c:pt>
                <c:pt idx="39">
                  <c:v>49</c:v>
                </c:pt>
                <c:pt idx="40">
                  <c:v>49</c:v>
                </c:pt>
                <c:pt idx="41">
                  <c:v>49</c:v>
                </c:pt>
                <c:pt idx="42">
                  <c:v>49</c:v>
                </c:pt>
                <c:pt idx="43">
                  <c:v>49</c:v>
                </c:pt>
                <c:pt idx="44">
                  <c:v>49</c:v>
                </c:pt>
                <c:pt idx="45">
                  <c:v>49</c:v>
                </c:pt>
                <c:pt idx="46">
                  <c:v>49</c:v>
                </c:pt>
                <c:pt idx="47">
                  <c:v>49</c:v>
                </c:pt>
                <c:pt idx="48">
                  <c:v>49</c:v>
                </c:pt>
                <c:pt idx="49">
                  <c:v>49</c:v>
                </c:pt>
                <c:pt idx="50">
                  <c:v>49</c:v>
                </c:pt>
                <c:pt idx="51">
                  <c:v>49</c:v>
                </c:pt>
                <c:pt idx="52">
                  <c:v>49</c:v>
                </c:pt>
                <c:pt idx="53">
                  <c:v>49</c:v>
                </c:pt>
                <c:pt idx="54">
                  <c:v>49</c:v>
                </c:pt>
                <c:pt idx="55">
                  <c:v>49</c:v>
                </c:pt>
                <c:pt idx="56">
                  <c:v>49</c:v>
                </c:pt>
                <c:pt idx="57">
                  <c:v>49</c:v>
                </c:pt>
                <c:pt idx="58">
                  <c:v>49</c:v>
                </c:pt>
                <c:pt idx="59">
                  <c:v>49</c:v>
                </c:pt>
                <c:pt idx="60">
                  <c:v>49</c:v>
                </c:pt>
                <c:pt idx="61">
                  <c:v>49</c:v>
                </c:pt>
                <c:pt idx="62">
                  <c:v>49</c:v>
                </c:pt>
                <c:pt idx="63">
                  <c:v>49</c:v>
                </c:pt>
                <c:pt idx="64">
                  <c:v>49</c:v>
                </c:pt>
                <c:pt idx="65">
                  <c:v>49</c:v>
                </c:pt>
                <c:pt idx="66">
                  <c:v>49</c:v>
                </c:pt>
                <c:pt idx="67">
                  <c:v>49</c:v>
                </c:pt>
                <c:pt idx="68">
                  <c:v>49</c:v>
                </c:pt>
                <c:pt idx="69">
                  <c:v>49</c:v>
                </c:pt>
                <c:pt idx="70">
                  <c:v>49</c:v>
                </c:pt>
                <c:pt idx="71">
                  <c:v>49</c:v>
                </c:pt>
                <c:pt idx="72">
                  <c:v>49</c:v>
                </c:pt>
                <c:pt idx="73">
                  <c:v>49</c:v>
                </c:pt>
                <c:pt idx="74">
                  <c:v>49</c:v>
                </c:pt>
                <c:pt idx="75">
                  <c:v>49</c:v>
                </c:pt>
                <c:pt idx="76">
                  <c:v>49</c:v>
                </c:pt>
                <c:pt idx="77">
                  <c:v>49</c:v>
                </c:pt>
                <c:pt idx="78">
                  <c:v>49</c:v>
                </c:pt>
                <c:pt idx="79">
                  <c:v>49</c:v>
                </c:pt>
                <c:pt idx="80">
                  <c:v>49</c:v>
                </c:pt>
                <c:pt idx="81">
                  <c:v>49</c:v>
                </c:pt>
                <c:pt idx="82">
                  <c:v>49</c:v>
                </c:pt>
                <c:pt idx="83">
                  <c:v>49</c:v>
                </c:pt>
                <c:pt idx="84">
                  <c:v>49</c:v>
                </c:pt>
                <c:pt idx="85">
                  <c:v>49</c:v>
                </c:pt>
                <c:pt idx="86">
                  <c:v>49</c:v>
                </c:pt>
                <c:pt idx="87">
                  <c:v>49</c:v>
                </c:pt>
                <c:pt idx="88">
                  <c:v>49</c:v>
                </c:pt>
                <c:pt idx="89">
                  <c:v>49</c:v>
                </c:pt>
                <c:pt idx="90">
                  <c:v>49</c:v>
                </c:pt>
                <c:pt idx="91">
                  <c:v>49</c:v>
                </c:pt>
                <c:pt idx="92">
                  <c:v>49</c:v>
                </c:pt>
                <c:pt idx="93">
                  <c:v>49</c:v>
                </c:pt>
                <c:pt idx="94">
                  <c:v>49</c:v>
                </c:pt>
                <c:pt idx="95">
                  <c:v>49</c:v>
                </c:pt>
                <c:pt idx="96">
                  <c:v>49</c:v>
                </c:pt>
                <c:pt idx="97">
                  <c:v>49</c:v>
                </c:pt>
                <c:pt idx="98">
                  <c:v>49</c:v>
                </c:pt>
                <c:pt idx="99">
                  <c:v>49</c:v>
                </c:pt>
                <c:pt idx="100">
                  <c:v>49</c:v>
                </c:pt>
                <c:pt idx="101">
                  <c:v>49</c:v>
                </c:pt>
                <c:pt idx="102">
                  <c:v>49</c:v>
                </c:pt>
                <c:pt idx="103">
                  <c:v>49</c:v>
                </c:pt>
                <c:pt idx="104">
                  <c:v>49</c:v>
                </c:pt>
                <c:pt idx="105">
                  <c:v>49</c:v>
                </c:pt>
                <c:pt idx="106">
                  <c:v>49</c:v>
                </c:pt>
                <c:pt idx="107">
                  <c:v>49</c:v>
                </c:pt>
                <c:pt idx="108">
                  <c:v>49</c:v>
                </c:pt>
                <c:pt idx="109">
                  <c:v>49</c:v>
                </c:pt>
                <c:pt idx="110">
                  <c:v>49</c:v>
                </c:pt>
                <c:pt idx="111">
                  <c:v>49</c:v>
                </c:pt>
                <c:pt idx="112">
                  <c:v>49</c:v>
                </c:pt>
                <c:pt idx="113">
                  <c:v>49</c:v>
                </c:pt>
                <c:pt idx="114">
                  <c:v>49</c:v>
                </c:pt>
                <c:pt idx="115">
                  <c:v>49</c:v>
                </c:pt>
                <c:pt idx="116">
                  <c:v>49</c:v>
                </c:pt>
                <c:pt idx="117">
                  <c:v>49</c:v>
                </c:pt>
                <c:pt idx="118">
                  <c:v>49</c:v>
                </c:pt>
                <c:pt idx="119">
                  <c:v>49</c:v>
                </c:pt>
                <c:pt idx="120">
                  <c:v>49</c:v>
                </c:pt>
                <c:pt idx="121">
                  <c:v>49</c:v>
                </c:pt>
                <c:pt idx="122">
                  <c:v>49</c:v>
                </c:pt>
                <c:pt idx="123">
                  <c:v>49</c:v>
                </c:pt>
                <c:pt idx="124">
                  <c:v>49</c:v>
                </c:pt>
                <c:pt idx="125">
                  <c:v>49</c:v>
                </c:pt>
                <c:pt idx="126">
                  <c:v>49</c:v>
                </c:pt>
                <c:pt idx="127">
                  <c:v>49</c:v>
                </c:pt>
                <c:pt idx="128">
                  <c:v>49</c:v>
                </c:pt>
                <c:pt idx="129">
                  <c:v>49</c:v>
                </c:pt>
                <c:pt idx="130">
                  <c:v>49</c:v>
                </c:pt>
                <c:pt idx="131">
                  <c:v>49</c:v>
                </c:pt>
                <c:pt idx="132">
                  <c:v>49</c:v>
                </c:pt>
                <c:pt idx="133">
                  <c:v>49</c:v>
                </c:pt>
                <c:pt idx="134">
                  <c:v>49</c:v>
                </c:pt>
                <c:pt idx="135">
                  <c:v>49</c:v>
                </c:pt>
                <c:pt idx="136">
                  <c:v>49</c:v>
                </c:pt>
                <c:pt idx="137">
                  <c:v>49</c:v>
                </c:pt>
                <c:pt idx="138">
                  <c:v>49</c:v>
                </c:pt>
                <c:pt idx="139">
                  <c:v>49</c:v>
                </c:pt>
                <c:pt idx="140">
                  <c:v>49</c:v>
                </c:pt>
                <c:pt idx="141">
                  <c:v>49</c:v>
                </c:pt>
                <c:pt idx="142">
                  <c:v>49</c:v>
                </c:pt>
                <c:pt idx="143">
                  <c:v>49</c:v>
                </c:pt>
                <c:pt idx="144">
                  <c:v>49</c:v>
                </c:pt>
                <c:pt idx="145">
                  <c:v>49</c:v>
                </c:pt>
                <c:pt idx="146">
                  <c:v>49</c:v>
                </c:pt>
                <c:pt idx="147">
                  <c:v>49</c:v>
                </c:pt>
                <c:pt idx="148">
                  <c:v>49</c:v>
                </c:pt>
                <c:pt idx="149">
                  <c:v>49</c:v>
                </c:pt>
                <c:pt idx="150">
                  <c:v>49</c:v>
                </c:pt>
                <c:pt idx="151">
                  <c:v>49</c:v>
                </c:pt>
                <c:pt idx="152">
                  <c:v>49</c:v>
                </c:pt>
                <c:pt idx="153">
                  <c:v>49</c:v>
                </c:pt>
                <c:pt idx="154">
                  <c:v>49</c:v>
                </c:pt>
                <c:pt idx="155">
                  <c:v>49</c:v>
                </c:pt>
                <c:pt idx="156">
                  <c:v>49</c:v>
                </c:pt>
                <c:pt idx="157">
                  <c:v>49</c:v>
                </c:pt>
                <c:pt idx="158">
                  <c:v>49</c:v>
                </c:pt>
                <c:pt idx="159">
                  <c:v>49</c:v>
                </c:pt>
                <c:pt idx="160">
                  <c:v>49</c:v>
                </c:pt>
                <c:pt idx="161">
                  <c:v>49</c:v>
                </c:pt>
                <c:pt idx="162">
                  <c:v>49</c:v>
                </c:pt>
                <c:pt idx="163">
                  <c:v>49</c:v>
                </c:pt>
                <c:pt idx="164">
                  <c:v>49</c:v>
                </c:pt>
                <c:pt idx="165">
                  <c:v>49</c:v>
                </c:pt>
                <c:pt idx="166">
                  <c:v>49</c:v>
                </c:pt>
                <c:pt idx="167">
                  <c:v>49</c:v>
                </c:pt>
                <c:pt idx="168">
                  <c:v>49</c:v>
                </c:pt>
                <c:pt idx="169">
                  <c:v>49</c:v>
                </c:pt>
                <c:pt idx="170">
                  <c:v>49</c:v>
                </c:pt>
                <c:pt idx="171">
                  <c:v>49</c:v>
                </c:pt>
                <c:pt idx="172">
                  <c:v>49</c:v>
                </c:pt>
                <c:pt idx="173">
                  <c:v>49</c:v>
                </c:pt>
                <c:pt idx="174">
                  <c:v>49</c:v>
                </c:pt>
                <c:pt idx="175">
                  <c:v>49</c:v>
                </c:pt>
                <c:pt idx="176">
                  <c:v>49</c:v>
                </c:pt>
                <c:pt idx="177">
                  <c:v>49</c:v>
                </c:pt>
                <c:pt idx="178">
                  <c:v>49</c:v>
                </c:pt>
                <c:pt idx="179">
                  <c:v>49</c:v>
                </c:pt>
                <c:pt idx="180">
                  <c:v>49</c:v>
                </c:pt>
                <c:pt idx="181">
                  <c:v>49</c:v>
                </c:pt>
                <c:pt idx="182">
                  <c:v>49</c:v>
                </c:pt>
                <c:pt idx="183">
                  <c:v>49</c:v>
                </c:pt>
                <c:pt idx="184">
                  <c:v>49</c:v>
                </c:pt>
                <c:pt idx="185">
                  <c:v>49</c:v>
                </c:pt>
                <c:pt idx="186">
                  <c:v>49</c:v>
                </c:pt>
                <c:pt idx="187">
                  <c:v>49</c:v>
                </c:pt>
                <c:pt idx="188">
                  <c:v>49</c:v>
                </c:pt>
                <c:pt idx="189">
                  <c:v>49</c:v>
                </c:pt>
                <c:pt idx="190">
                  <c:v>49</c:v>
                </c:pt>
                <c:pt idx="191">
                  <c:v>49</c:v>
                </c:pt>
                <c:pt idx="192">
                  <c:v>49</c:v>
                </c:pt>
                <c:pt idx="193">
                  <c:v>49</c:v>
                </c:pt>
                <c:pt idx="194">
                  <c:v>49</c:v>
                </c:pt>
                <c:pt idx="195">
                  <c:v>49</c:v>
                </c:pt>
                <c:pt idx="196">
                  <c:v>49</c:v>
                </c:pt>
                <c:pt idx="197">
                  <c:v>49</c:v>
                </c:pt>
                <c:pt idx="198">
                  <c:v>49</c:v>
                </c:pt>
                <c:pt idx="199">
                  <c:v>49</c:v>
                </c:pt>
                <c:pt idx="200">
                  <c:v>49</c:v>
                </c:pt>
                <c:pt idx="201">
                  <c:v>49</c:v>
                </c:pt>
                <c:pt idx="202">
                  <c:v>49</c:v>
                </c:pt>
                <c:pt idx="203">
                  <c:v>49</c:v>
                </c:pt>
                <c:pt idx="204">
                  <c:v>49</c:v>
                </c:pt>
                <c:pt idx="205">
                  <c:v>49</c:v>
                </c:pt>
                <c:pt idx="206">
                  <c:v>49</c:v>
                </c:pt>
                <c:pt idx="207">
                  <c:v>49</c:v>
                </c:pt>
                <c:pt idx="208">
                  <c:v>49</c:v>
                </c:pt>
                <c:pt idx="209">
                  <c:v>49</c:v>
                </c:pt>
                <c:pt idx="210">
                  <c:v>49</c:v>
                </c:pt>
                <c:pt idx="211">
                  <c:v>49</c:v>
                </c:pt>
                <c:pt idx="212">
                  <c:v>49</c:v>
                </c:pt>
                <c:pt idx="213">
                  <c:v>49</c:v>
                </c:pt>
                <c:pt idx="214">
                  <c:v>49</c:v>
                </c:pt>
                <c:pt idx="215">
                  <c:v>49</c:v>
                </c:pt>
                <c:pt idx="216">
                  <c:v>49</c:v>
                </c:pt>
                <c:pt idx="217">
                  <c:v>49</c:v>
                </c:pt>
                <c:pt idx="218">
                  <c:v>49</c:v>
                </c:pt>
                <c:pt idx="219">
                  <c:v>49</c:v>
                </c:pt>
                <c:pt idx="220">
                  <c:v>49</c:v>
                </c:pt>
                <c:pt idx="221">
                  <c:v>49</c:v>
                </c:pt>
                <c:pt idx="222">
                  <c:v>49</c:v>
                </c:pt>
                <c:pt idx="223">
                  <c:v>49</c:v>
                </c:pt>
                <c:pt idx="224">
                  <c:v>49</c:v>
                </c:pt>
                <c:pt idx="225">
                  <c:v>49</c:v>
                </c:pt>
                <c:pt idx="226">
                  <c:v>49</c:v>
                </c:pt>
                <c:pt idx="227">
                  <c:v>49</c:v>
                </c:pt>
                <c:pt idx="228">
                  <c:v>49</c:v>
                </c:pt>
                <c:pt idx="229">
                  <c:v>49</c:v>
                </c:pt>
                <c:pt idx="230">
                  <c:v>49</c:v>
                </c:pt>
                <c:pt idx="231">
                  <c:v>49</c:v>
                </c:pt>
                <c:pt idx="232">
                  <c:v>49</c:v>
                </c:pt>
                <c:pt idx="233">
                  <c:v>49</c:v>
                </c:pt>
                <c:pt idx="234">
                  <c:v>49</c:v>
                </c:pt>
                <c:pt idx="235">
                  <c:v>49</c:v>
                </c:pt>
                <c:pt idx="236">
                  <c:v>49</c:v>
                </c:pt>
                <c:pt idx="237">
                  <c:v>49</c:v>
                </c:pt>
                <c:pt idx="238">
                  <c:v>49</c:v>
                </c:pt>
                <c:pt idx="239">
                  <c:v>49</c:v>
                </c:pt>
                <c:pt idx="240">
                  <c:v>49</c:v>
                </c:pt>
                <c:pt idx="241">
                  <c:v>49</c:v>
                </c:pt>
                <c:pt idx="242">
                  <c:v>49</c:v>
                </c:pt>
                <c:pt idx="243">
                  <c:v>49</c:v>
                </c:pt>
                <c:pt idx="244">
                  <c:v>49</c:v>
                </c:pt>
                <c:pt idx="245">
                  <c:v>49</c:v>
                </c:pt>
                <c:pt idx="246">
                  <c:v>49</c:v>
                </c:pt>
                <c:pt idx="247">
                  <c:v>49</c:v>
                </c:pt>
                <c:pt idx="248">
                  <c:v>49</c:v>
                </c:pt>
                <c:pt idx="249">
                  <c:v>49</c:v>
                </c:pt>
                <c:pt idx="250">
                  <c:v>49</c:v>
                </c:pt>
                <c:pt idx="251">
                  <c:v>49</c:v>
                </c:pt>
                <c:pt idx="252">
                  <c:v>49</c:v>
                </c:pt>
                <c:pt idx="253">
                  <c:v>49</c:v>
                </c:pt>
                <c:pt idx="254">
                  <c:v>49</c:v>
                </c:pt>
                <c:pt idx="255">
                  <c:v>49</c:v>
                </c:pt>
                <c:pt idx="256">
                  <c:v>49</c:v>
                </c:pt>
                <c:pt idx="257">
                  <c:v>49</c:v>
                </c:pt>
                <c:pt idx="258">
                  <c:v>49</c:v>
                </c:pt>
                <c:pt idx="259">
                  <c:v>49</c:v>
                </c:pt>
                <c:pt idx="260">
                  <c:v>49</c:v>
                </c:pt>
                <c:pt idx="261">
                  <c:v>49</c:v>
                </c:pt>
                <c:pt idx="262">
                  <c:v>49</c:v>
                </c:pt>
                <c:pt idx="263">
                  <c:v>49</c:v>
                </c:pt>
                <c:pt idx="264">
                  <c:v>49</c:v>
                </c:pt>
                <c:pt idx="265">
                  <c:v>49</c:v>
                </c:pt>
                <c:pt idx="266">
                  <c:v>49</c:v>
                </c:pt>
                <c:pt idx="267">
                  <c:v>49</c:v>
                </c:pt>
                <c:pt idx="268">
                  <c:v>49</c:v>
                </c:pt>
                <c:pt idx="269">
                  <c:v>49</c:v>
                </c:pt>
                <c:pt idx="270">
                  <c:v>49</c:v>
                </c:pt>
                <c:pt idx="271">
                  <c:v>49</c:v>
                </c:pt>
                <c:pt idx="272">
                  <c:v>49</c:v>
                </c:pt>
                <c:pt idx="273">
                  <c:v>49</c:v>
                </c:pt>
                <c:pt idx="274">
                  <c:v>49</c:v>
                </c:pt>
                <c:pt idx="275">
                  <c:v>49</c:v>
                </c:pt>
                <c:pt idx="276">
                  <c:v>49</c:v>
                </c:pt>
                <c:pt idx="277">
                  <c:v>49</c:v>
                </c:pt>
                <c:pt idx="278">
                  <c:v>49</c:v>
                </c:pt>
                <c:pt idx="279">
                  <c:v>49</c:v>
                </c:pt>
                <c:pt idx="280">
                  <c:v>49</c:v>
                </c:pt>
                <c:pt idx="281">
                  <c:v>49</c:v>
                </c:pt>
                <c:pt idx="282">
                  <c:v>49</c:v>
                </c:pt>
                <c:pt idx="283">
                  <c:v>49</c:v>
                </c:pt>
                <c:pt idx="284">
                  <c:v>49</c:v>
                </c:pt>
                <c:pt idx="285">
                  <c:v>49</c:v>
                </c:pt>
                <c:pt idx="286">
                  <c:v>49</c:v>
                </c:pt>
                <c:pt idx="287">
                  <c:v>49</c:v>
                </c:pt>
                <c:pt idx="288">
                  <c:v>49</c:v>
                </c:pt>
                <c:pt idx="289">
                  <c:v>49</c:v>
                </c:pt>
                <c:pt idx="290">
                  <c:v>49</c:v>
                </c:pt>
                <c:pt idx="291">
                  <c:v>49</c:v>
                </c:pt>
                <c:pt idx="292">
                  <c:v>49</c:v>
                </c:pt>
                <c:pt idx="293">
                  <c:v>49</c:v>
                </c:pt>
                <c:pt idx="294">
                  <c:v>49</c:v>
                </c:pt>
                <c:pt idx="295">
                  <c:v>49</c:v>
                </c:pt>
                <c:pt idx="296">
                  <c:v>49</c:v>
                </c:pt>
                <c:pt idx="297">
                  <c:v>49</c:v>
                </c:pt>
                <c:pt idx="298">
                  <c:v>49</c:v>
                </c:pt>
                <c:pt idx="299">
                  <c:v>49</c:v>
                </c:pt>
                <c:pt idx="300">
                  <c:v>49</c:v>
                </c:pt>
                <c:pt idx="301">
                  <c:v>49</c:v>
                </c:pt>
                <c:pt idx="302">
                  <c:v>49</c:v>
                </c:pt>
                <c:pt idx="303">
                  <c:v>49</c:v>
                </c:pt>
                <c:pt idx="304">
                  <c:v>49</c:v>
                </c:pt>
                <c:pt idx="305">
                  <c:v>49</c:v>
                </c:pt>
                <c:pt idx="306">
                  <c:v>49</c:v>
                </c:pt>
                <c:pt idx="307">
                  <c:v>49</c:v>
                </c:pt>
                <c:pt idx="308">
                  <c:v>49</c:v>
                </c:pt>
                <c:pt idx="309">
                  <c:v>49</c:v>
                </c:pt>
                <c:pt idx="310">
                  <c:v>49</c:v>
                </c:pt>
                <c:pt idx="311">
                  <c:v>49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4D-4752-BB45-2A04426664AE}"/>
            </c:ext>
          </c:extLst>
        </c:ser>
        <c:ser>
          <c:idx val="2"/>
          <c:order val="2"/>
          <c:tx>
            <c:strRef>
              <c:f>'Dynamisk plan'!$K$16</c:f>
              <c:strCache>
                <c:ptCount val="1"/>
                <c:pt idx="0">
                  <c:v>Avdrag</c:v>
                </c:pt>
              </c:strCache>
            </c:strRef>
          </c:tx>
          <c:spPr>
            <a:solidFill>
              <a:srgbClr val="83CAFF"/>
            </a:solidFill>
            <a:ln>
              <a:solidFill>
                <a:srgbClr val="000000"/>
              </a:solidFill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'Dynamisk plan'!$A$18:$A$377</c:f>
              <c:strCache>
                <c:ptCount val="360"/>
                <c:pt idx="0">
                  <c:v>Januar 2025</c:v>
                </c:pt>
                <c:pt idx="1">
                  <c:v>Februar 2025</c:v>
                </c:pt>
                <c:pt idx="2">
                  <c:v>Mars 2025</c:v>
                </c:pt>
                <c:pt idx="3">
                  <c:v>April 2025</c:v>
                </c:pt>
                <c:pt idx="4">
                  <c:v>Mai 2025</c:v>
                </c:pt>
                <c:pt idx="5">
                  <c:v>Juni 2025</c:v>
                </c:pt>
                <c:pt idx="6">
                  <c:v>Juli 2025</c:v>
                </c:pt>
                <c:pt idx="7">
                  <c:v>August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Desember 2025</c:v>
                </c:pt>
                <c:pt idx="12">
                  <c:v>Januar 2026</c:v>
                </c:pt>
                <c:pt idx="13">
                  <c:v>Februar 2026</c:v>
                </c:pt>
                <c:pt idx="14">
                  <c:v>Mars 2026</c:v>
                </c:pt>
                <c:pt idx="15">
                  <c:v>April 2026</c:v>
                </c:pt>
                <c:pt idx="16">
                  <c:v>Mai 2026</c:v>
                </c:pt>
                <c:pt idx="17">
                  <c:v>Juni 2026</c:v>
                </c:pt>
                <c:pt idx="18">
                  <c:v>Juli 2026</c:v>
                </c:pt>
                <c:pt idx="19">
                  <c:v>August 2026</c:v>
                </c:pt>
                <c:pt idx="20">
                  <c:v>September 2026</c:v>
                </c:pt>
                <c:pt idx="21">
                  <c:v>Oktober 2026</c:v>
                </c:pt>
                <c:pt idx="22">
                  <c:v>November 2026</c:v>
                </c:pt>
                <c:pt idx="23">
                  <c:v>Desember 2026</c:v>
                </c:pt>
                <c:pt idx="24">
                  <c:v>Januar 2027</c:v>
                </c:pt>
                <c:pt idx="25">
                  <c:v>Februar 2027</c:v>
                </c:pt>
                <c:pt idx="26">
                  <c:v>Mars 2027</c:v>
                </c:pt>
                <c:pt idx="27">
                  <c:v>April 2027</c:v>
                </c:pt>
                <c:pt idx="28">
                  <c:v>Mai 2027</c:v>
                </c:pt>
                <c:pt idx="29">
                  <c:v>Juni 2027</c:v>
                </c:pt>
                <c:pt idx="30">
                  <c:v>Juli 2027</c:v>
                </c:pt>
                <c:pt idx="31">
                  <c:v>August 2027</c:v>
                </c:pt>
                <c:pt idx="32">
                  <c:v>September 2027</c:v>
                </c:pt>
                <c:pt idx="33">
                  <c:v>Oktober 2027</c:v>
                </c:pt>
                <c:pt idx="34">
                  <c:v>November 2027</c:v>
                </c:pt>
                <c:pt idx="35">
                  <c:v>Desember 2027</c:v>
                </c:pt>
                <c:pt idx="36">
                  <c:v>Januar 2028</c:v>
                </c:pt>
                <c:pt idx="37">
                  <c:v>Februar 2028</c:v>
                </c:pt>
                <c:pt idx="38">
                  <c:v>Mars 2028</c:v>
                </c:pt>
                <c:pt idx="39">
                  <c:v>April 2028</c:v>
                </c:pt>
                <c:pt idx="40">
                  <c:v>Mai 2028</c:v>
                </c:pt>
                <c:pt idx="41">
                  <c:v>Juni 2028</c:v>
                </c:pt>
                <c:pt idx="42">
                  <c:v>Juli 2028</c:v>
                </c:pt>
                <c:pt idx="43">
                  <c:v>August 2028</c:v>
                </c:pt>
                <c:pt idx="44">
                  <c:v>September 2028</c:v>
                </c:pt>
                <c:pt idx="45">
                  <c:v>Oktober 2028</c:v>
                </c:pt>
                <c:pt idx="46">
                  <c:v>November 2028</c:v>
                </c:pt>
                <c:pt idx="47">
                  <c:v>Desember 2028</c:v>
                </c:pt>
                <c:pt idx="48">
                  <c:v>Januar 2029</c:v>
                </c:pt>
                <c:pt idx="49">
                  <c:v>Februar 2029</c:v>
                </c:pt>
                <c:pt idx="50">
                  <c:v>Mars 2029</c:v>
                </c:pt>
                <c:pt idx="51">
                  <c:v>April 2029</c:v>
                </c:pt>
                <c:pt idx="52">
                  <c:v>Mai 2029</c:v>
                </c:pt>
                <c:pt idx="53">
                  <c:v>Juni 2029</c:v>
                </c:pt>
                <c:pt idx="54">
                  <c:v>Juli 2029</c:v>
                </c:pt>
                <c:pt idx="55">
                  <c:v>August 2029</c:v>
                </c:pt>
                <c:pt idx="56">
                  <c:v>September 2029</c:v>
                </c:pt>
                <c:pt idx="57">
                  <c:v>Oktober 2029</c:v>
                </c:pt>
                <c:pt idx="58">
                  <c:v>November 2029</c:v>
                </c:pt>
                <c:pt idx="59">
                  <c:v>Desember 2029</c:v>
                </c:pt>
                <c:pt idx="60">
                  <c:v>Januar 2030</c:v>
                </c:pt>
                <c:pt idx="61">
                  <c:v>Februar 2030</c:v>
                </c:pt>
                <c:pt idx="62">
                  <c:v>Mars 2030</c:v>
                </c:pt>
                <c:pt idx="63">
                  <c:v>April 2030</c:v>
                </c:pt>
                <c:pt idx="64">
                  <c:v>Mai 2030</c:v>
                </c:pt>
                <c:pt idx="65">
                  <c:v>Juni 2030</c:v>
                </c:pt>
                <c:pt idx="66">
                  <c:v>Juli 2030</c:v>
                </c:pt>
                <c:pt idx="67">
                  <c:v>August 2030</c:v>
                </c:pt>
                <c:pt idx="68">
                  <c:v>September 2030</c:v>
                </c:pt>
                <c:pt idx="69">
                  <c:v>Oktober 2030</c:v>
                </c:pt>
                <c:pt idx="70">
                  <c:v>November 2030</c:v>
                </c:pt>
                <c:pt idx="71">
                  <c:v>Desember 2030</c:v>
                </c:pt>
                <c:pt idx="72">
                  <c:v>Januar 2031</c:v>
                </c:pt>
                <c:pt idx="73">
                  <c:v>Februar 2031</c:v>
                </c:pt>
                <c:pt idx="74">
                  <c:v>Mars 2031</c:v>
                </c:pt>
                <c:pt idx="75">
                  <c:v>April 2031</c:v>
                </c:pt>
                <c:pt idx="76">
                  <c:v>Mai 2031</c:v>
                </c:pt>
                <c:pt idx="77">
                  <c:v>Juni 2031</c:v>
                </c:pt>
                <c:pt idx="78">
                  <c:v>Juli 2031</c:v>
                </c:pt>
                <c:pt idx="79">
                  <c:v>August 2031</c:v>
                </c:pt>
                <c:pt idx="80">
                  <c:v>September 2031</c:v>
                </c:pt>
                <c:pt idx="81">
                  <c:v>Oktober 2031</c:v>
                </c:pt>
                <c:pt idx="82">
                  <c:v>November 2031</c:v>
                </c:pt>
                <c:pt idx="83">
                  <c:v>Desember 2031</c:v>
                </c:pt>
                <c:pt idx="84">
                  <c:v>Januar 2032</c:v>
                </c:pt>
                <c:pt idx="85">
                  <c:v>Februar 2032</c:v>
                </c:pt>
                <c:pt idx="86">
                  <c:v>Mars 2032</c:v>
                </c:pt>
                <c:pt idx="87">
                  <c:v>April 2032</c:v>
                </c:pt>
                <c:pt idx="88">
                  <c:v>Mai 2032</c:v>
                </c:pt>
                <c:pt idx="89">
                  <c:v>Juni 2032</c:v>
                </c:pt>
                <c:pt idx="90">
                  <c:v>Juli 2032</c:v>
                </c:pt>
                <c:pt idx="91">
                  <c:v>August 2032</c:v>
                </c:pt>
                <c:pt idx="92">
                  <c:v>September 2032</c:v>
                </c:pt>
                <c:pt idx="93">
                  <c:v>Oktober 2032</c:v>
                </c:pt>
                <c:pt idx="94">
                  <c:v>November 2032</c:v>
                </c:pt>
                <c:pt idx="95">
                  <c:v>Desember 2032</c:v>
                </c:pt>
                <c:pt idx="96">
                  <c:v>Januar 2033</c:v>
                </c:pt>
                <c:pt idx="97">
                  <c:v>Februar 2033</c:v>
                </c:pt>
                <c:pt idx="98">
                  <c:v>Mars 2033</c:v>
                </c:pt>
                <c:pt idx="99">
                  <c:v>April 2033</c:v>
                </c:pt>
                <c:pt idx="100">
                  <c:v>Mai 2033</c:v>
                </c:pt>
                <c:pt idx="101">
                  <c:v>Juni 2033</c:v>
                </c:pt>
                <c:pt idx="102">
                  <c:v>Juli 2033</c:v>
                </c:pt>
                <c:pt idx="103">
                  <c:v>August 2033</c:v>
                </c:pt>
                <c:pt idx="104">
                  <c:v>September 2033</c:v>
                </c:pt>
                <c:pt idx="105">
                  <c:v>Oktober 2033</c:v>
                </c:pt>
                <c:pt idx="106">
                  <c:v>November 2033</c:v>
                </c:pt>
                <c:pt idx="107">
                  <c:v>Desember 2033</c:v>
                </c:pt>
                <c:pt idx="108">
                  <c:v>Januar 2034</c:v>
                </c:pt>
                <c:pt idx="109">
                  <c:v>Februar 2034</c:v>
                </c:pt>
                <c:pt idx="110">
                  <c:v>Mars 2034</c:v>
                </c:pt>
                <c:pt idx="111">
                  <c:v>April 2034</c:v>
                </c:pt>
                <c:pt idx="112">
                  <c:v>Mai 2034</c:v>
                </c:pt>
                <c:pt idx="113">
                  <c:v>Juni 2034</c:v>
                </c:pt>
                <c:pt idx="114">
                  <c:v>Juli 2034</c:v>
                </c:pt>
                <c:pt idx="115">
                  <c:v>August 2034</c:v>
                </c:pt>
                <c:pt idx="116">
                  <c:v>September 2034</c:v>
                </c:pt>
                <c:pt idx="117">
                  <c:v>Oktober 2034</c:v>
                </c:pt>
                <c:pt idx="118">
                  <c:v>November 2034</c:v>
                </c:pt>
                <c:pt idx="119">
                  <c:v>Desember 2034</c:v>
                </c:pt>
                <c:pt idx="120">
                  <c:v>Januar 2035</c:v>
                </c:pt>
                <c:pt idx="121">
                  <c:v>Februar 2035</c:v>
                </c:pt>
                <c:pt idx="122">
                  <c:v>Mars 2035</c:v>
                </c:pt>
                <c:pt idx="123">
                  <c:v>April 2035</c:v>
                </c:pt>
                <c:pt idx="124">
                  <c:v>Mai 2035</c:v>
                </c:pt>
                <c:pt idx="125">
                  <c:v>Juni 2035</c:v>
                </c:pt>
                <c:pt idx="126">
                  <c:v>Juli 2035</c:v>
                </c:pt>
                <c:pt idx="127">
                  <c:v>August 2035</c:v>
                </c:pt>
                <c:pt idx="128">
                  <c:v>September 2035</c:v>
                </c:pt>
                <c:pt idx="129">
                  <c:v>Oktober 2035</c:v>
                </c:pt>
                <c:pt idx="130">
                  <c:v>November 2035</c:v>
                </c:pt>
                <c:pt idx="131">
                  <c:v>Desember 2035</c:v>
                </c:pt>
                <c:pt idx="132">
                  <c:v>Januar 2036</c:v>
                </c:pt>
                <c:pt idx="133">
                  <c:v>Februar 2036</c:v>
                </c:pt>
                <c:pt idx="134">
                  <c:v>Mars 2036</c:v>
                </c:pt>
                <c:pt idx="135">
                  <c:v>April 2036</c:v>
                </c:pt>
                <c:pt idx="136">
                  <c:v>Mai 2036</c:v>
                </c:pt>
                <c:pt idx="137">
                  <c:v>Juni 2036</c:v>
                </c:pt>
                <c:pt idx="138">
                  <c:v>Juli 2036</c:v>
                </c:pt>
                <c:pt idx="139">
                  <c:v>August 2036</c:v>
                </c:pt>
                <c:pt idx="140">
                  <c:v>September 2036</c:v>
                </c:pt>
                <c:pt idx="141">
                  <c:v>Oktober 2036</c:v>
                </c:pt>
                <c:pt idx="142">
                  <c:v>November 2036</c:v>
                </c:pt>
                <c:pt idx="143">
                  <c:v>Desember 2036</c:v>
                </c:pt>
                <c:pt idx="144">
                  <c:v>Januar 2037</c:v>
                </c:pt>
                <c:pt idx="145">
                  <c:v>Februar 2037</c:v>
                </c:pt>
                <c:pt idx="146">
                  <c:v>Mars 2037</c:v>
                </c:pt>
                <c:pt idx="147">
                  <c:v>April 2037</c:v>
                </c:pt>
                <c:pt idx="148">
                  <c:v>Mai 2037</c:v>
                </c:pt>
                <c:pt idx="149">
                  <c:v>Juni 2037</c:v>
                </c:pt>
                <c:pt idx="150">
                  <c:v>Juli 2037</c:v>
                </c:pt>
                <c:pt idx="151">
                  <c:v>August 2037</c:v>
                </c:pt>
                <c:pt idx="152">
                  <c:v>September 2037</c:v>
                </c:pt>
                <c:pt idx="153">
                  <c:v>Oktober 2037</c:v>
                </c:pt>
                <c:pt idx="154">
                  <c:v>November 2037</c:v>
                </c:pt>
                <c:pt idx="155">
                  <c:v>Desember 2037</c:v>
                </c:pt>
                <c:pt idx="156">
                  <c:v>Januar 2038</c:v>
                </c:pt>
                <c:pt idx="157">
                  <c:v>Februar 2038</c:v>
                </c:pt>
                <c:pt idx="158">
                  <c:v>Mars 2038</c:v>
                </c:pt>
                <c:pt idx="159">
                  <c:v>April 2038</c:v>
                </c:pt>
                <c:pt idx="160">
                  <c:v>Mai 2038</c:v>
                </c:pt>
                <c:pt idx="161">
                  <c:v>Juni 2038</c:v>
                </c:pt>
                <c:pt idx="162">
                  <c:v>Juli 2038</c:v>
                </c:pt>
                <c:pt idx="163">
                  <c:v>August 2038</c:v>
                </c:pt>
                <c:pt idx="164">
                  <c:v>September 2038</c:v>
                </c:pt>
                <c:pt idx="165">
                  <c:v>Oktober 2038</c:v>
                </c:pt>
                <c:pt idx="166">
                  <c:v>November 2038</c:v>
                </c:pt>
                <c:pt idx="167">
                  <c:v>Desember 2038</c:v>
                </c:pt>
                <c:pt idx="168">
                  <c:v>Januar 2039</c:v>
                </c:pt>
                <c:pt idx="169">
                  <c:v>Februar 2039</c:v>
                </c:pt>
                <c:pt idx="170">
                  <c:v>Mars 2039</c:v>
                </c:pt>
                <c:pt idx="171">
                  <c:v>April 2039</c:v>
                </c:pt>
                <c:pt idx="172">
                  <c:v>Mai 2039</c:v>
                </c:pt>
                <c:pt idx="173">
                  <c:v>Juni 2039</c:v>
                </c:pt>
                <c:pt idx="174">
                  <c:v>Juli 2039</c:v>
                </c:pt>
                <c:pt idx="175">
                  <c:v>August 2039</c:v>
                </c:pt>
                <c:pt idx="176">
                  <c:v>September 2039</c:v>
                </c:pt>
                <c:pt idx="177">
                  <c:v>Oktober 2039</c:v>
                </c:pt>
                <c:pt idx="178">
                  <c:v>November 2039</c:v>
                </c:pt>
                <c:pt idx="179">
                  <c:v>Desember 2039</c:v>
                </c:pt>
                <c:pt idx="180">
                  <c:v>Januar 2040</c:v>
                </c:pt>
                <c:pt idx="181">
                  <c:v>Februar 2040</c:v>
                </c:pt>
                <c:pt idx="182">
                  <c:v>Mars 2040</c:v>
                </c:pt>
                <c:pt idx="183">
                  <c:v>April 2040</c:v>
                </c:pt>
                <c:pt idx="184">
                  <c:v>Mai 2040</c:v>
                </c:pt>
                <c:pt idx="185">
                  <c:v>Juni 2040</c:v>
                </c:pt>
                <c:pt idx="186">
                  <c:v>Juli 2040</c:v>
                </c:pt>
                <c:pt idx="187">
                  <c:v>August 2040</c:v>
                </c:pt>
                <c:pt idx="188">
                  <c:v>September 2040</c:v>
                </c:pt>
                <c:pt idx="189">
                  <c:v>Oktober 2040</c:v>
                </c:pt>
                <c:pt idx="190">
                  <c:v>November 2040</c:v>
                </c:pt>
                <c:pt idx="191">
                  <c:v>Desember 2040</c:v>
                </c:pt>
                <c:pt idx="192">
                  <c:v>Januar 2041</c:v>
                </c:pt>
                <c:pt idx="193">
                  <c:v>Februar 2041</c:v>
                </c:pt>
                <c:pt idx="194">
                  <c:v>Mars 2041</c:v>
                </c:pt>
                <c:pt idx="195">
                  <c:v>April 2041</c:v>
                </c:pt>
                <c:pt idx="196">
                  <c:v>Mai 2041</c:v>
                </c:pt>
                <c:pt idx="197">
                  <c:v>Juni 2041</c:v>
                </c:pt>
                <c:pt idx="198">
                  <c:v>Juli 2041</c:v>
                </c:pt>
                <c:pt idx="199">
                  <c:v>August 2041</c:v>
                </c:pt>
                <c:pt idx="200">
                  <c:v>September 2041</c:v>
                </c:pt>
                <c:pt idx="201">
                  <c:v>Oktober 2041</c:v>
                </c:pt>
                <c:pt idx="202">
                  <c:v>November 2041</c:v>
                </c:pt>
                <c:pt idx="203">
                  <c:v>Desember 2041</c:v>
                </c:pt>
                <c:pt idx="204">
                  <c:v>Januar 2042</c:v>
                </c:pt>
                <c:pt idx="205">
                  <c:v>Februar 2042</c:v>
                </c:pt>
                <c:pt idx="206">
                  <c:v>Mars 2042</c:v>
                </c:pt>
                <c:pt idx="207">
                  <c:v>April 2042</c:v>
                </c:pt>
                <c:pt idx="208">
                  <c:v>Mai 2042</c:v>
                </c:pt>
                <c:pt idx="209">
                  <c:v>Juni 2042</c:v>
                </c:pt>
                <c:pt idx="210">
                  <c:v>Juli 2042</c:v>
                </c:pt>
                <c:pt idx="211">
                  <c:v>August 2042</c:v>
                </c:pt>
                <c:pt idx="212">
                  <c:v>September 2042</c:v>
                </c:pt>
                <c:pt idx="213">
                  <c:v>Oktober 2042</c:v>
                </c:pt>
                <c:pt idx="214">
                  <c:v>November 2042</c:v>
                </c:pt>
                <c:pt idx="215">
                  <c:v>Desember 2042</c:v>
                </c:pt>
                <c:pt idx="216">
                  <c:v>Januar 2043</c:v>
                </c:pt>
                <c:pt idx="217">
                  <c:v>Februar 2043</c:v>
                </c:pt>
                <c:pt idx="218">
                  <c:v>Mars 2043</c:v>
                </c:pt>
                <c:pt idx="219">
                  <c:v>April 2043</c:v>
                </c:pt>
                <c:pt idx="220">
                  <c:v>Mai 2043</c:v>
                </c:pt>
                <c:pt idx="221">
                  <c:v>Juni 2043</c:v>
                </c:pt>
                <c:pt idx="222">
                  <c:v>Juli 2043</c:v>
                </c:pt>
                <c:pt idx="223">
                  <c:v>August 2043</c:v>
                </c:pt>
                <c:pt idx="224">
                  <c:v>September 2043</c:v>
                </c:pt>
                <c:pt idx="225">
                  <c:v>Oktober 2043</c:v>
                </c:pt>
                <c:pt idx="226">
                  <c:v>November 2043</c:v>
                </c:pt>
                <c:pt idx="227">
                  <c:v>Desember 2043</c:v>
                </c:pt>
                <c:pt idx="228">
                  <c:v>Januar 2044</c:v>
                </c:pt>
                <c:pt idx="229">
                  <c:v>Februar 2044</c:v>
                </c:pt>
                <c:pt idx="230">
                  <c:v>Mars 2044</c:v>
                </c:pt>
                <c:pt idx="231">
                  <c:v>April 2044</c:v>
                </c:pt>
                <c:pt idx="232">
                  <c:v>Mai 2044</c:v>
                </c:pt>
                <c:pt idx="233">
                  <c:v>Juni 2044</c:v>
                </c:pt>
                <c:pt idx="234">
                  <c:v>Juli 2044</c:v>
                </c:pt>
                <c:pt idx="235">
                  <c:v>August 2044</c:v>
                </c:pt>
                <c:pt idx="236">
                  <c:v>September 2044</c:v>
                </c:pt>
                <c:pt idx="237">
                  <c:v>Oktober 2044</c:v>
                </c:pt>
                <c:pt idx="238">
                  <c:v>November 2044</c:v>
                </c:pt>
                <c:pt idx="239">
                  <c:v>Desember 2044</c:v>
                </c:pt>
                <c:pt idx="240">
                  <c:v>Januar 2045</c:v>
                </c:pt>
                <c:pt idx="241">
                  <c:v>Februar 2045</c:v>
                </c:pt>
                <c:pt idx="242">
                  <c:v>Mars 2045</c:v>
                </c:pt>
                <c:pt idx="243">
                  <c:v>April 2045</c:v>
                </c:pt>
                <c:pt idx="244">
                  <c:v>Mai 2045</c:v>
                </c:pt>
                <c:pt idx="245">
                  <c:v>Juni 2045</c:v>
                </c:pt>
                <c:pt idx="246">
                  <c:v>Juli 2045</c:v>
                </c:pt>
                <c:pt idx="247">
                  <c:v>August 2045</c:v>
                </c:pt>
                <c:pt idx="248">
                  <c:v>September 2045</c:v>
                </c:pt>
                <c:pt idx="249">
                  <c:v>Oktober 2045</c:v>
                </c:pt>
                <c:pt idx="250">
                  <c:v>November 2045</c:v>
                </c:pt>
                <c:pt idx="251">
                  <c:v>Desember 2045</c:v>
                </c:pt>
                <c:pt idx="252">
                  <c:v>Januar 2046</c:v>
                </c:pt>
                <c:pt idx="253">
                  <c:v>Februar 2046</c:v>
                </c:pt>
                <c:pt idx="254">
                  <c:v>Mars 2046</c:v>
                </c:pt>
                <c:pt idx="255">
                  <c:v>April 2046</c:v>
                </c:pt>
                <c:pt idx="256">
                  <c:v>Mai 2046</c:v>
                </c:pt>
                <c:pt idx="257">
                  <c:v>Juni 2046</c:v>
                </c:pt>
                <c:pt idx="258">
                  <c:v>Juli 2046</c:v>
                </c:pt>
                <c:pt idx="259">
                  <c:v>August 2046</c:v>
                </c:pt>
                <c:pt idx="260">
                  <c:v>September 2046</c:v>
                </c:pt>
                <c:pt idx="261">
                  <c:v>Oktober 2046</c:v>
                </c:pt>
                <c:pt idx="262">
                  <c:v>November 2046</c:v>
                </c:pt>
                <c:pt idx="263">
                  <c:v>Desember 2046</c:v>
                </c:pt>
                <c:pt idx="264">
                  <c:v>Januar 2047</c:v>
                </c:pt>
                <c:pt idx="265">
                  <c:v>Februar 2047</c:v>
                </c:pt>
                <c:pt idx="266">
                  <c:v>Mars 2047</c:v>
                </c:pt>
                <c:pt idx="267">
                  <c:v>April 2047</c:v>
                </c:pt>
                <c:pt idx="268">
                  <c:v>Mai 2047</c:v>
                </c:pt>
                <c:pt idx="269">
                  <c:v>Juni 2047</c:v>
                </c:pt>
                <c:pt idx="270">
                  <c:v>Juli 2047</c:v>
                </c:pt>
                <c:pt idx="271">
                  <c:v>August 2047</c:v>
                </c:pt>
                <c:pt idx="272">
                  <c:v>September 2047</c:v>
                </c:pt>
                <c:pt idx="273">
                  <c:v>Oktober 2047</c:v>
                </c:pt>
                <c:pt idx="274">
                  <c:v>November 2047</c:v>
                </c:pt>
                <c:pt idx="275">
                  <c:v>Desember 2047</c:v>
                </c:pt>
                <c:pt idx="276">
                  <c:v>Januar 2048</c:v>
                </c:pt>
                <c:pt idx="277">
                  <c:v>Februar 2048</c:v>
                </c:pt>
                <c:pt idx="278">
                  <c:v>Mars 2048</c:v>
                </c:pt>
                <c:pt idx="279">
                  <c:v>April 2048</c:v>
                </c:pt>
                <c:pt idx="280">
                  <c:v>Mai 2048</c:v>
                </c:pt>
                <c:pt idx="281">
                  <c:v>Juni 2048</c:v>
                </c:pt>
                <c:pt idx="282">
                  <c:v>Juli 2048</c:v>
                </c:pt>
                <c:pt idx="283">
                  <c:v>August 2048</c:v>
                </c:pt>
                <c:pt idx="284">
                  <c:v>September 2048</c:v>
                </c:pt>
                <c:pt idx="285">
                  <c:v>Oktober 2048</c:v>
                </c:pt>
                <c:pt idx="286">
                  <c:v>November 2048</c:v>
                </c:pt>
                <c:pt idx="287">
                  <c:v>Desember 2048</c:v>
                </c:pt>
                <c:pt idx="288">
                  <c:v>Januar 2049</c:v>
                </c:pt>
                <c:pt idx="289">
                  <c:v>Februar 2049</c:v>
                </c:pt>
                <c:pt idx="290">
                  <c:v>Mars 2049</c:v>
                </c:pt>
                <c:pt idx="291">
                  <c:v>April 2049</c:v>
                </c:pt>
                <c:pt idx="292">
                  <c:v>Mai 2049</c:v>
                </c:pt>
                <c:pt idx="293">
                  <c:v>Juni 2049</c:v>
                </c:pt>
                <c:pt idx="294">
                  <c:v>Juli 2049</c:v>
                </c:pt>
                <c:pt idx="295">
                  <c:v>August 2049</c:v>
                </c:pt>
                <c:pt idx="296">
                  <c:v>September 2049</c:v>
                </c:pt>
                <c:pt idx="297">
                  <c:v>Oktober 2049</c:v>
                </c:pt>
                <c:pt idx="298">
                  <c:v>November 2049</c:v>
                </c:pt>
                <c:pt idx="299">
                  <c:v>Desember 2049</c:v>
                </c:pt>
                <c:pt idx="300">
                  <c:v>Januar 2050</c:v>
                </c:pt>
                <c:pt idx="301">
                  <c:v>Februar 2050</c:v>
                </c:pt>
                <c:pt idx="302">
                  <c:v>Mars 2050</c:v>
                </c:pt>
                <c:pt idx="303">
                  <c:v>April 2050</c:v>
                </c:pt>
                <c:pt idx="304">
                  <c:v>Mai 2050</c:v>
                </c:pt>
                <c:pt idx="305">
                  <c:v>Juni 2050</c:v>
                </c:pt>
                <c:pt idx="306">
                  <c:v>Juli 2050</c:v>
                </c:pt>
                <c:pt idx="307">
                  <c:v>August 2050</c:v>
                </c:pt>
                <c:pt idx="308">
                  <c:v>September 2050</c:v>
                </c:pt>
                <c:pt idx="309">
                  <c:v>Oktober 2050</c:v>
                </c:pt>
                <c:pt idx="310">
                  <c:v>November 2050</c:v>
                </c:pt>
                <c:pt idx="311">
                  <c:v>Desember 2050</c:v>
                </c:pt>
                <c:pt idx="312">
                  <c:v>Januar 2051</c:v>
                </c:pt>
                <c:pt idx="313">
                  <c:v>Februar 2051</c:v>
                </c:pt>
                <c:pt idx="314">
                  <c:v>Mars 2051</c:v>
                </c:pt>
                <c:pt idx="315">
                  <c:v>April 2051</c:v>
                </c:pt>
                <c:pt idx="316">
                  <c:v>Mai 2051</c:v>
                </c:pt>
                <c:pt idx="317">
                  <c:v>Juni 2051</c:v>
                </c:pt>
                <c:pt idx="318">
                  <c:v>Juli 2051</c:v>
                </c:pt>
                <c:pt idx="319">
                  <c:v>August 2051</c:v>
                </c:pt>
                <c:pt idx="320">
                  <c:v>September 2051</c:v>
                </c:pt>
                <c:pt idx="321">
                  <c:v>Oktober 2051</c:v>
                </c:pt>
                <c:pt idx="322">
                  <c:v>November 2051</c:v>
                </c:pt>
                <c:pt idx="323">
                  <c:v>Desember 2051</c:v>
                </c:pt>
                <c:pt idx="324">
                  <c:v>Januar 2052</c:v>
                </c:pt>
                <c:pt idx="325">
                  <c:v>Februar 2052</c:v>
                </c:pt>
                <c:pt idx="326">
                  <c:v>Mars 2052</c:v>
                </c:pt>
                <c:pt idx="327">
                  <c:v>April 2052</c:v>
                </c:pt>
                <c:pt idx="328">
                  <c:v>Mai 2052</c:v>
                </c:pt>
                <c:pt idx="329">
                  <c:v>Juni 2052</c:v>
                </c:pt>
                <c:pt idx="330">
                  <c:v>Juli 2052</c:v>
                </c:pt>
                <c:pt idx="331">
                  <c:v>August 2052</c:v>
                </c:pt>
                <c:pt idx="332">
                  <c:v>September 2052</c:v>
                </c:pt>
                <c:pt idx="333">
                  <c:v>Oktober 2052</c:v>
                </c:pt>
                <c:pt idx="334">
                  <c:v>November 2052</c:v>
                </c:pt>
                <c:pt idx="335">
                  <c:v>Desember 2052</c:v>
                </c:pt>
                <c:pt idx="336">
                  <c:v>Januar 2053</c:v>
                </c:pt>
                <c:pt idx="337">
                  <c:v>Februar 2053</c:v>
                </c:pt>
                <c:pt idx="338">
                  <c:v>Mars 2053</c:v>
                </c:pt>
                <c:pt idx="339">
                  <c:v>April 2053</c:v>
                </c:pt>
                <c:pt idx="340">
                  <c:v>Mai 2053</c:v>
                </c:pt>
                <c:pt idx="341">
                  <c:v>Juni 2053</c:v>
                </c:pt>
                <c:pt idx="342">
                  <c:v>Juli 2053</c:v>
                </c:pt>
                <c:pt idx="343">
                  <c:v>August 2053</c:v>
                </c:pt>
                <c:pt idx="344">
                  <c:v>September 2053</c:v>
                </c:pt>
                <c:pt idx="345">
                  <c:v>Oktober 2053</c:v>
                </c:pt>
                <c:pt idx="346">
                  <c:v>November 2053</c:v>
                </c:pt>
                <c:pt idx="347">
                  <c:v>Desember 2053</c:v>
                </c:pt>
                <c:pt idx="348">
                  <c:v>Januar 2054</c:v>
                </c:pt>
                <c:pt idx="349">
                  <c:v>Februar 2054</c:v>
                </c:pt>
                <c:pt idx="350">
                  <c:v>Mars 2054</c:v>
                </c:pt>
                <c:pt idx="351">
                  <c:v>April 2054</c:v>
                </c:pt>
                <c:pt idx="352">
                  <c:v>Mai 2054</c:v>
                </c:pt>
                <c:pt idx="353">
                  <c:v>Juni 2054</c:v>
                </c:pt>
                <c:pt idx="354">
                  <c:v>Juli 2054</c:v>
                </c:pt>
                <c:pt idx="355">
                  <c:v>August 2054</c:v>
                </c:pt>
                <c:pt idx="356">
                  <c:v>September 2054</c:v>
                </c:pt>
                <c:pt idx="357">
                  <c:v>Oktober 2054</c:v>
                </c:pt>
                <c:pt idx="358">
                  <c:v>November 2054</c:v>
                </c:pt>
                <c:pt idx="359">
                  <c:v>Desember 2054</c:v>
                </c:pt>
              </c:strCache>
            </c:strRef>
          </c:cat>
          <c:val>
            <c:numRef>
              <c:f>'Dynamisk plan'!$K$18:$K$377</c:f>
              <c:numCache>
                <c:formatCode>[$kr-414]\ #,##0;[Red]\-[$kr-414]\ #,##0</c:formatCode>
                <c:ptCount val="360"/>
                <c:pt idx="0">
                  <c:v>8204.6121794871779</c:v>
                </c:pt>
                <c:pt idx="1">
                  <c:v>8204.6121794871779</c:v>
                </c:pt>
                <c:pt idx="2">
                  <c:v>8204.6121794871779</c:v>
                </c:pt>
                <c:pt idx="3">
                  <c:v>8204.6121794871779</c:v>
                </c:pt>
                <c:pt idx="4">
                  <c:v>8204.6121794871779</c:v>
                </c:pt>
                <c:pt idx="5">
                  <c:v>8204.6121794871797</c:v>
                </c:pt>
                <c:pt idx="6">
                  <c:v>8204.6121794871797</c:v>
                </c:pt>
                <c:pt idx="7">
                  <c:v>8204.6121794871779</c:v>
                </c:pt>
                <c:pt idx="8">
                  <c:v>8204.6121794871779</c:v>
                </c:pt>
                <c:pt idx="9">
                  <c:v>8204.6121794871779</c:v>
                </c:pt>
                <c:pt idx="10">
                  <c:v>8204.6121794871779</c:v>
                </c:pt>
                <c:pt idx="11">
                  <c:v>8204.6121794871779</c:v>
                </c:pt>
                <c:pt idx="12">
                  <c:v>8204.6121794871797</c:v>
                </c:pt>
                <c:pt idx="13">
                  <c:v>8204.6121794871797</c:v>
                </c:pt>
                <c:pt idx="14">
                  <c:v>8204.6121794871779</c:v>
                </c:pt>
                <c:pt idx="15">
                  <c:v>8204.6121794871779</c:v>
                </c:pt>
                <c:pt idx="16">
                  <c:v>8204.6121794871779</c:v>
                </c:pt>
                <c:pt idx="17">
                  <c:v>8204.6121794871779</c:v>
                </c:pt>
                <c:pt idx="18">
                  <c:v>8204.6121794871779</c:v>
                </c:pt>
                <c:pt idx="19">
                  <c:v>8204.6121794871797</c:v>
                </c:pt>
                <c:pt idx="20">
                  <c:v>8204.6121794871797</c:v>
                </c:pt>
                <c:pt idx="21">
                  <c:v>8204.6121794871797</c:v>
                </c:pt>
                <c:pt idx="22">
                  <c:v>8204.6121794871779</c:v>
                </c:pt>
                <c:pt idx="23">
                  <c:v>8204.612179487176</c:v>
                </c:pt>
                <c:pt idx="24">
                  <c:v>8204.612179487176</c:v>
                </c:pt>
                <c:pt idx="25">
                  <c:v>8204.6121794871742</c:v>
                </c:pt>
                <c:pt idx="26">
                  <c:v>8204.6121794871742</c:v>
                </c:pt>
                <c:pt idx="27">
                  <c:v>8204.6121794871724</c:v>
                </c:pt>
                <c:pt idx="28">
                  <c:v>8204.6121794871706</c:v>
                </c:pt>
                <c:pt idx="29">
                  <c:v>8204.6121794871706</c:v>
                </c:pt>
                <c:pt idx="30">
                  <c:v>8204.6121794871706</c:v>
                </c:pt>
                <c:pt idx="31">
                  <c:v>8204.6121794871688</c:v>
                </c:pt>
                <c:pt idx="32">
                  <c:v>8204.6121794871669</c:v>
                </c:pt>
                <c:pt idx="33">
                  <c:v>8204.6121794871669</c:v>
                </c:pt>
                <c:pt idx="34">
                  <c:v>8204.6121794871651</c:v>
                </c:pt>
                <c:pt idx="35">
                  <c:v>8204.6121794871651</c:v>
                </c:pt>
                <c:pt idx="36">
                  <c:v>8204.6121794871633</c:v>
                </c:pt>
                <c:pt idx="37">
                  <c:v>8204.6121794871633</c:v>
                </c:pt>
                <c:pt idx="38">
                  <c:v>8204.6121794871615</c:v>
                </c:pt>
                <c:pt idx="39">
                  <c:v>8204.6121794871597</c:v>
                </c:pt>
                <c:pt idx="40">
                  <c:v>8204.6121794871597</c:v>
                </c:pt>
                <c:pt idx="41">
                  <c:v>8204.6121794871597</c:v>
                </c:pt>
                <c:pt idx="42">
                  <c:v>8204.6121794871578</c:v>
                </c:pt>
                <c:pt idx="43">
                  <c:v>8204.612179487156</c:v>
                </c:pt>
                <c:pt idx="44">
                  <c:v>8204.612179487156</c:v>
                </c:pt>
                <c:pt idx="45">
                  <c:v>8204.612179487156</c:v>
                </c:pt>
                <c:pt idx="46">
                  <c:v>8204.6121794871542</c:v>
                </c:pt>
                <c:pt idx="47">
                  <c:v>8204.6121794871524</c:v>
                </c:pt>
                <c:pt idx="48">
                  <c:v>8204.6121794871524</c:v>
                </c:pt>
                <c:pt idx="49">
                  <c:v>8204.6121794871506</c:v>
                </c:pt>
                <c:pt idx="50">
                  <c:v>8204.6121794871488</c:v>
                </c:pt>
                <c:pt idx="51">
                  <c:v>8204.6121794871488</c:v>
                </c:pt>
                <c:pt idx="52">
                  <c:v>8204.6121794871488</c:v>
                </c:pt>
                <c:pt idx="53">
                  <c:v>8204.6121794871469</c:v>
                </c:pt>
                <c:pt idx="54">
                  <c:v>8204.6121794871451</c:v>
                </c:pt>
                <c:pt idx="55">
                  <c:v>8204.6121794871451</c:v>
                </c:pt>
                <c:pt idx="56">
                  <c:v>8204.6121794871451</c:v>
                </c:pt>
                <c:pt idx="57">
                  <c:v>8204.6121794871451</c:v>
                </c:pt>
                <c:pt idx="58">
                  <c:v>8204.6121794871451</c:v>
                </c:pt>
                <c:pt idx="59">
                  <c:v>8204.6121794871451</c:v>
                </c:pt>
                <c:pt idx="60">
                  <c:v>8204.6121794871451</c:v>
                </c:pt>
                <c:pt idx="61">
                  <c:v>8204.6121794871451</c:v>
                </c:pt>
                <c:pt idx="62">
                  <c:v>8204.6121794871451</c:v>
                </c:pt>
                <c:pt idx="63">
                  <c:v>8204.6121794871451</c:v>
                </c:pt>
                <c:pt idx="64">
                  <c:v>8204.6121794871451</c:v>
                </c:pt>
                <c:pt idx="65">
                  <c:v>8204.6121794871451</c:v>
                </c:pt>
                <c:pt idx="66">
                  <c:v>8204.6121794871451</c:v>
                </c:pt>
                <c:pt idx="67">
                  <c:v>8204.6121794871451</c:v>
                </c:pt>
                <c:pt idx="68">
                  <c:v>8204.6121794871451</c:v>
                </c:pt>
                <c:pt idx="69">
                  <c:v>8204.6121794871451</c:v>
                </c:pt>
                <c:pt idx="70">
                  <c:v>8204.6121794871451</c:v>
                </c:pt>
                <c:pt idx="71">
                  <c:v>8204.6121794871451</c:v>
                </c:pt>
                <c:pt idx="72">
                  <c:v>8204.6121794871451</c:v>
                </c:pt>
                <c:pt idx="73">
                  <c:v>8204.6121794871451</c:v>
                </c:pt>
                <c:pt idx="74">
                  <c:v>8204.6121794871451</c:v>
                </c:pt>
                <c:pt idx="75">
                  <c:v>8204.6121794871451</c:v>
                </c:pt>
                <c:pt idx="76">
                  <c:v>8204.6121794871451</c:v>
                </c:pt>
                <c:pt idx="77">
                  <c:v>8204.6121794871451</c:v>
                </c:pt>
                <c:pt idx="78">
                  <c:v>8204.6121794871451</c:v>
                </c:pt>
                <c:pt idx="79">
                  <c:v>8204.6121794871451</c:v>
                </c:pt>
                <c:pt idx="80">
                  <c:v>8204.6121794871451</c:v>
                </c:pt>
                <c:pt idx="81">
                  <c:v>8204.6121794871451</c:v>
                </c:pt>
                <c:pt idx="82">
                  <c:v>8204.6121794871451</c:v>
                </c:pt>
                <c:pt idx="83">
                  <c:v>8204.6121794871451</c:v>
                </c:pt>
                <c:pt idx="84">
                  <c:v>8204.6121794871451</c:v>
                </c:pt>
                <c:pt idx="85">
                  <c:v>8204.6121794871451</c:v>
                </c:pt>
                <c:pt idx="86">
                  <c:v>8204.6121794871451</c:v>
                </c:pt>
                <c:pt idx="87">
                  <c:v>8204.6121794871451</c:v>
                </c:pt>
                <c:pt idx="88">
                  <c:v>8204.6121794871451</c:v>
                </c:pt>
                <c:pt idx="89">
                  <c:v>8204.6121794871469</c:v>
                </c:pt>
                <c:pt idx="90">
                  <c:v>8204.6121794871469</c:v>
                </c:pt>
                <c:pt idx="91">
                  <c:v>8204.6121794871469</c:v>
                </c:pt>
                <c:pt idx="92">
                  <c:v>8204.6121794871469</c:v>
                </c:pt>
                <c:pt idx="93">
                  <c:v>8204.6121794871469</c:v>
                </c:pt>
                <c:pt idx="94">
                  <c:v>8204.6121794871469</c:v>
                </c:pt>
                <c:pt idx="95">
                  <c:v>8204.6121794871469</c:v>
                </c:pt>
                <c:pt idx="96">
                  <c:v>8204.6121794871469</c:v>
                </c:pt>
                <c:pt idx="97">
                  <c:v>8204.6121794871469</c:v>
                </c:pt>
                <c:pt idx="98">
                  <c:v>8204.6121794871469</c:v>
                </c:pt>
                <c:pt idx="99">
                  <c:v>8204.6121794871469</c:v>
                </c:pt>
                <c:pt idx="100">
                  <c:v>8204.6121794871469</c:v>
                </c:pt>
                <c:pt idx="101">
                  <c:v>8204.6121794871469</c:v>
                </c:pt>
                <c:pt idx="102">
                  <c:v>8204.6121794871469</c:v>
                </c:pt>
                <c:pt idx="103">
                  <c:v>8204.6121794871469</c:v>
                </c:pt>
                <c:pt idx="104">
                  <c:v>8204.6121794871469</c:v>
                </c:pt>
                <c:pt idx="105">
                  <c:v>8204.6121794871469</c:v>
                </c:pt>
                <c:pt idx="106">
                  <c:v>8204.6121794871469</c:v>
                </c:pt>
                <c:pt idx="107">
                  <c:v>8204.6121794871469</c:v>
                </c:pt>
                <c:pt idx="108">
                  <c:v>8204.6121794871469</c:v>
                </c:pt>
                <c:pt idx="109">
                  <c:v>8204.6121794871469</c:v>
                </c:pt>
                <c:pt idx="110">
                  <c:v>8204.6121794871469</c:v>
                </c:pt>
                <c:pt idx="111">
                  <c:v>8204.6121794871469</c:v>
                </c:pt>
                <c:pt idx="112">
                  <c:v>8204.6121794871469</c:v>
                </c:pt>
                <c:pt idx="113">
                  <c:v>8204.6121794871469</c:v>
                </c:pt>
                <c:pt idx="114">
                  <c:v>8204.6121794871469</c:v>
                </c:pt>
                <c:pt idx="115">
                  <c:v>8204.6121794871469</c:v>
                </c:pt>
                <c:pt idx="116">
                  <c:v>8204.6121794871469</c:v>
                </c:pt>
                <c:pt idx="117">
                  <c:v>8204.6121794871469</c:v>
                </c:pt>
                <c:pt idx="118">
                  <c:v>8204.6121794871469</c:v>
                </c:pt>
                <c:pt idx="119">
                  <c:v>8204.6121794871469</c:v>
                </c:pt>
                <c:pt idx="120">
                  <c:v>8204.6121794871469</c:v>
                </c:pt>
                <c:pt idx="121">
                  <c:v>8204.6121794871469</c:v>
                </c:pt>
                <c:pt idx="122">
                  <c:v>8204.6121794871469</c:v>
                </c:pt>
                <c:pt idx="123">
                  <c:v>8204.6121794871469</c:v>
                </c:pt>
                <c:pt idx="124">
                  <c:v>8204.6121794871469</c:v>
                </c:pt>
                <c:pt idx="125">
                  <c:v>8204.6121794871469</c:v>
                </c:pt>
                <c:pt idx="126">
                  <c:v>8204.6121794871469</c:v>
                </c:pt>
                <c:pt idx="127">
                  <c:v>8204.6121794871469</c:v>
                </c:pt>
                <c:pt idx="128">
                  <c:v>8204.6121794871469</c:v>
                </c:pt>
                <c:pt idx="129">
                  <c:v>8204.6121794871469</c:v>
                </c:pt>
                <c:pt idx="130">
                  <c:v>8204.6121794871469</c:v>
                </c:pt>
                <c:pt idx="131">
                  <c:v>8204.6121794871469</c:v>
                </c:pt>
                <c:pt idx="132">
                  <c:v>8204.6121794871469</c:v>
                </c:pt>
                <c:pt idx="133">
                  <c:v>8204.6121794871469</c:v>
                </c:pt>
                <c:pt idx="134">
                  <c:v>8204.6121794871469</c:v>
                </c:pt>
                <c:pt idx="135">
                  <c:v>8204.6121794871469</c:v>
                </c:pt>
                <c:pt idx="136">
                  <c:v>8204.6121794871469</c:v>
                </c:pt>
                <c:pt idx="137">
                  <c:v>8204.6121794871469</c:v>
                </c:pt>
                <c:pt idx="138">
                  <c:v>8204.6121794871469</c:v>
                </c:pt>
                <c:pt idx="139">
                  <c:v>8204.6121794871469</c:v>
                </c:pt>
                <c:pt idx="140">
                  <c:v>8204.6121794871469</c:v>
                </c:pt>
                <c:pt idx="141">
                  <c:v>8204.6121794871469</c:v>
                </c:pt>
                <c:pt idx="142">
                  <c:v>8204.6121794871469</c:v>
                </c:pt>
                <c:pt idx="143">
                  <c:v>8204.6121794871469</c:v>
                </c:pt>
                <c:pt idx="144">
                  <c:v>8204.6121794871469</c:v>
                </c:pt>
                <c:pt idx="145">
                  <c:v>8204.6121794871469</c:v>
                </c:pt>
                <c:pt idx="146">
                  <c:v>8204.6121794871469</c:v>
                </c:pt>
                <c:pt idx="147">
                  <c:v>8204.6121794871469</c:v>
                </c:pt>
                <c:pt idx="148">
                  <c:v>8204.6121794871469</c:v>
                </c:pt>
                <c:pt idx="149">
                  <c:v>8204.6121794871469</c:v>
                </c:pt>
                <c:pt idx="150">
                  <c:v>8204.6121794871469</c:v>
                </c:pt>
                <c:pt idx="151">
                  <c:v>8204.6121794871469</c:v>
                </c:pt>
                <c:pt idx="152">
                  <c:v>8204.6121794871469</c:v>
                </c:pt>
                <c:pt idx="153">
                  <c:v>8204.6121794871469</c:v>
                </c:pt>
                <c:pt idx="154">
                  <c:v>8204.6121794871469</c:v>
                </c:pt>
                <c:pt idx="155">
                  <c:v>8204.6121794871469</c:v>
                </c:pt>
                <c:pt idx="156">
                  <c:v>8204.6121794871469</c:v>
                </c:pt>
                <c:pt idx="157">
                  <c:v>8204.6121794871469</c:v>
                </c:pt>
                <c:pt idx="158">
                  <c:v>8204.6121794871469</c:v>
                </c:pt>
                <c:pt idx="159">
                  <c:v>8204.6121794871469</c:v>
                </c:pt>
                <c:pt idx="160">
                  <c:v>8204.6121794871469</c:v>
                </c:pt>
                <c:pt idx="161">
                  <c:v>8204.6121794871469</c:v>
                </c:pt>
                <c:pt idx="162">
                  <c:v>8204.6121794871469</c:v>
                </c:pt>
                <c:pt idx="163">
                  <c:v>8204.6121794871469</c:v>
                </c:pt>
                <c:pt idx="164">
                  <c:v>8204.6121794871469</c:v>
                </c:pt>
                <c:pt idx="165">
                  <c:v>8204.6121794871469</c:v>
                </c:pt>
                <c:pt idx="166">
                  <c:v>8204.6121794871469</c:v>
                </c:pt>
                <c:pt idx="167">
                  <c:v>8204.6121794871469</c:v>
                </c:pt>
                <c:pt idx="168">
                  <c:v>8204.6121794871469</c:v>
                </c:pt>
                <c:pt idx="169">
                  <c:v>8204.6121794871469</c:v>
                </c:pt>
                <c:pt idx="170">
                  <c:v>8204.6121794871469</c:v>
                </c:pt>
                <c:pt idx="171">
                  <c:v>8204.6121794871469</c:v>
                </c:pt>
                <c:pt idx="172">
                  <c:v>8204.6121794871469</c:v>
                </c:pt>
                <c:pt idx="173">
                  <c:v>8204.6121794871469</c:v>
                </c:pt>
                <c:pt idx="174">
                  <c:v>8204.6121794871469</c:v>
                </c:pt>
                <c:pt idx="175">
                  <c:v>8204.6121794871469</c:v>
                </c:pt>
                <c:pt idx="176">
                  <c:v>8204.6121794871469</c:v>
                </c:pt>
                <c:pt idx="177">
                  <c:v>8204.6121794871469</c:v>
                </c:pt>
                <c:pt idx="178">
                  <c:v>8204.6121794871469</c:v>
                </c:pt>
                <c:pt idx="179">
                  <c:v>8204.6121794871469</c:v>
                </c:pt>
                <c:pt idx="180">
                  <c:v>8204.6121794871469</c:v>
                </c:pt>
                <c:pt idx="181">
                  <c:v>8204.6121794871469</c:v>
                </c:pt>
                <c:pt idx="182">
                  <c:v>8204.6121794871469</c:v>
                </c:pt>
                <c:pt idx="183">
                  <c:v>8204.6121794871469</c:v>
                </c:pt>
                <c:pt idx="184">
                  <c:v>8204.6121794871469</c:v>
                </c:pt>
                <c:pt idx="185">
                  <c:v>8204.6121794871469</c:v>
                </c:pt>
                <c:pt idx="186">
                  <c:v>8204.6121794871469</c:v>
                </c:pt>
                <c:pt idx="187">
                  <c:v>8204.6121794871469</c:v>
                </c:pt>
                <c:pt idx="188">
                  <c:v>8204.6121794871469</c:v>
                </c:pt>
                <c:pt idx="189">
                  <c:v>8204.6121794871469</c:v>
                </c:pt>
                <c:pt idx="190">
                  <c:v>8204.6121794871469</c:v>
                </c:pt>
                <c:pt idx="191">
                  <c:v>8204.6121794871469</c:v>
                </c:pt>
                <c:pt idx="192">
                  <c:v>8204.6121794871469</c:v>
                </c:pt>
                <c:pt idx="193">
                  <c:v>8204.6121794871469</c:v>
                </c:pt>
                <c:pt idx="194">
                  <c:v>8204.6121794871469</c:v>
                </c:pt>
                <c:pt idx="195">
                  <c:v>8204.6121794871469</c:v>
                </c:pt>
                <c:pt idx="196">
                  <c:v>8204.6121794871469</c:v>
                </c:pt>
                <c:pt idx="197">
                  <c:v>8204.6121794871469</c:v>
                </c:pt>
                <c:pt idx="198">
                  <c:v>8204.6121794871469</c:v>
                </c:pt>
                <c:pt idx="199">
                  <c:v>8204.6121794871469</c:v>
                </c:pt>
                <c:pt idx="200">
                  <c:v>8204.6121794871469</c:v>
                </c:pt>
                <c:pt idx="201">
                  <c:v>8204.6121794871469</c:v>
                </c:pt>
                <c:pt idx="202">
                  <c:v>8204.6121794871469</c:v>
                </c:pt>
                <c:pt idx="203">
                  <c:v>8204.6121794871469</c:v>
                </c:pt>
                <c:pt idx="204">
                  <c:v>8204.6121794871469</c:v>
                </c:pt>
                <c:pt idx="205">
                  <c:v>8204.6121794871469</c:v>
                </c:pt>
                <c:pt idx="206">
                  <c:v>8204.6121794871469</c:v>
                </c:pt>
                <c:pt idx="207">
                  <c:v>8204.6121794871469</c:v>
                </c:pt>
                <c:pt idx="208">
                  <c:v>8204.6121794871469</c:v>
                </c:pt>
                <c:pt idx="209">
                  <c:v>8204.6121794871469</c:v>
                </c:pt>
                <c:pt idx="210">
                  <c:v>8204.6121794871469</c:v>
                </c:pt>
                <c:pt idx="211">
                  <c:v>8204.6121794871469</c:v>
                </c:pt>
                <c:pt idx="212">
                  <c:v>8204.6121794871469</c:v>
                </c:pt>
                <c:pt idx="213">
                  <c:v>8204.6121794871469</c:v>
                </c:pt>
                <c:pt idx="214">
                  <c:v>8204.6121794871469</c:v>
                </c:pt>
                <c:pt idx="215">
                  <c:v>8204.6121794871469</c:v>
                </c:pt>
                <c:pt idx="216">
                  <c:v>8204.6121794871469</c:v>
                </c:pt>
                <c:pt idx="217">
                  <c:v>8204.6121794871469</c:v>
                </c:pt>
                <c:pt idx="218">
                  <c:v>8204.6121794871469</c:v>
                </c:pt>
                <c:pt idx="219">
                  <c:v>8204.6121794871469</c:v>
                </c:pt>
                <c:pt idx="220">
                  <c:v>8204.6121794871469</c:v>
                </c:pt>
                <c:pt idx="221">
                  <c:v>8204.6121794871469</c:v>
                </c:pt>
                <c:pt idx="222">
                  <c:v>8204.6121794871469</c:v>
                </c:pt>
                <c:pt idx="223">
                  <c:v>8204.6121794871469</c:v>
                </c:pt>
                <c:pt idx="224">
                  <c:v>8204.6121794871469</c:v>
                </c:pt>
                <c:pt idx="225">
                  <c:v>8204.6121794871469</c:v>
                </c:pt>
                <c:pt idx="226">
                  <c:v>8204.6121794871469</c:v>
                </c:pt>
                <c:pt idx="227">
                  <c:v>8204.6121794871469</c:v>
                </c:pt>
                <c:pt idx="228">
                  <c:v>8204.6121794871469</c:v>
                </c:pt>
                <c:pt idx="229">
                  <c:v>8204.6121794871469</c:v>
                </c:pt>
                <c:pt idx="230">
                  <c:v>8204.6121794871469</c:v>
                </c:pt>
                <c:pt idx="231">
                  <c:v>8204.6121794871469</c:v>
                </c:pt>
                <c:pt idx="232">
                  <c:v>8204.6121794871469</c:v>
                </c:pt>
                <c:pt idx="233">
                  <c:v>8204.6121794871469</c:v>
                </c:pt>
                <c:pt idx="234">
                  <c:v>8204.6121794871469</c:v>
                </c:pt>
                <c:pt idx="235">
                  <c:v>8204.6121794871469</c:v>
                </c:pt>
                <c:pt idx="236">
                  <c:v>8204.6121794871469</c:v>
                </c:pt>
                <c:pt idx="237">
                  <c:v>8204.6121794871469</c:v>
                </c:pt>
                <c:pt idx="238">
                  <c:v>8204.6121794871469</c:v>
                </c:pt>
                <c:pt idx="239">
                  <c:v>8204.6121794871469</c:v>
                </c:pt>
                <c:pt idx="240">
                  <c:v>8204.6121794871469</c:v>
                </c:pt>
                <c:pt idx="241">
                  <c:v>8204.6121794871469</c:v>
                </c:pt>
                <c:pt idx="242">
                  <c:v>8204.6121794871469</c:v>
                </c:pt>
                <c:pt idx="243">
                  <c:v>8204.6121794871469</c:v>
                </c:pt>
                <c:pt idx="244">
                  <c:v>8204.6121794871469</c:v>
                </c:pt>
                <c:pt idx="245">
                  <c:v>8204.6121794871469</c:v>
                </c:pt>
                <c:pt idx="246">
                  <c:v>8204.6121794871469</c:v>
                </c:pt>
                <c:pt idx="247">
                  <c:v>8204.6121794871469</c:v>
                </c:pt>
                <c:pt idx="248">
                  <c:v>8204.6121794871469</c:v>
                </c:pt>
                <c:pt idx="249">
                  <c:v>8204.6121794871469</c:v>
                </c:pt>
                <c:pt idx="250">
                  <c:v>8204.6121794871469</c:v>
                </c:pt>
                <c:pt idx="251">
                  <c:v>8204.6121794871469</c:v>
                </c:pt>
                <c:pt idx="252">
                  <c:v>8204.6121794871469</c:v>
                </c:pt>
                <c:pt idx="253">
                  <c:v>8204.6121794871469</c:v>
                </c:pt>
                <c:pt idx="254">
                  <c:v>8204.6121794871469</c:v>
                </c:pt>
                <c:pt idx="255">
                  <c:v>8204.6121794871469</c:v>
                </c:pt>
                <c:pt idx="256">
                  <c:v>8204.6121794871469</c:v>
                </c:pt>
                <c:pt idx="257">
                  <c:v>8204.6121794871469</c:v>
                </c:pt>
                <c:pt idx="258">
                  <c:v>8204.6121794871469</c:v>
                </c:pt>
                <c:pt idx="259">
                  <c:v>8204.6121794871469</c:v>
                </c:pt>
                <c:pt idx="260">
                  <c:v>8204.6121794871469</c:v>
                </c:pt>
                <c:pt idx="261">
                  <c:v>8204.6121794871469</c:v>
                </c:pt>
                <c:pt idx="262">
                  <c:v>8204.6121794871469</c:v>
                </c:pt>
                <c:pt idx="263">
                  <c:v>8204.6121794871469</c:v>
                </c:pt>
                <c:pt idx="264">
                  <c:v>8204.6121794871469</c:v>
                </c:pt>
                <c:pt idx="265">
                  <c:v>8204.6121794871469</c:v>
                </c:pt>
                <c:pt idx="266">
                  <c:v>8204.6121794871469</c:v>
                </c:pt>
                <c:pt idx="267">
                  <c:v>8204.6121794871469</c:v>
                </c:pt>
                <c:pt idx="268">
                  <c:v>8204.6121794871469</c:v>
                </c:pt>
                <c:pt idx="269">
                  <c:v>8204.6121794871469</c:v>
                </c:pt>
                <c:pt idx="270">
                  <c:v>8204.6121794871469</c:v>
                </c:pt>
                <c:pt idx="271">
                  <c:v>8204.6121794871469</c:v>
                </c:pt>
                <c:pt idx="272">
                  <c:v>8204.6121794871469</c:v>
                </c:pt>
                <c:pt idx="273">
                  <c:v>8204.6121794871469</c:v>
                </c:pt>
                <c:pt idx="274">
                  <c:v>8204.6121794871469</c:v>
                </c:pt>
                <c:pt idx="275">
                  <c:v>8204.6121794871469</c:v>
                </c:pt>
                <c:pt idx="276">
                  <c:v>8204.6121794871469</c:v>
                </c:pt>
                <c:pt idx="277">
                  <c:v>8204.6121794871469</c:v>
                </c:pt>
                <c:pt idx="278">
                  <c:v>8204.6121794871469</c:v>
                </c:pt>
                <c:pt idx="279">
                  <c:v>8204.6121794871469</c:v>
                </c:pt>
                <c:pt idx="280">
                  <c:v>8204.6121794871469</c:v>
                </c:pt>
                <c:pt idx="281">
                  <c:v>8204.6121794871469</c:v>
                </c:pt>
                <c:pt idx="282">
                  <c:v>8204.6121794871469</c:v>
                </c:pt>
                <c:pt idx="283">
                  <c:v>8204.6121794871469</c:v>
                </c:pt>
                <c:pt idx="284">
                  <c:v>8204.6121794871469</c:v>
                </c:pt>
                <c:pt idx="285">
                  <c:v>8204.6121794871469</c:v>
                </c:pt>
                <c:pt idx="286">
                  <c:v>8204.6121794871469</c:v>
                </c:pt>
                <c:pt idx="287">
                  <c:v>8204.6121794871469</c:v>
                </c:pt>
                <c:pt idx="288">
                  <c:v>8204.6121794871469</c:v>
                </c:pt>
                <c:pt idx="289">
                  <c:v>8204.6121794871469</c:v>
                </c:pt>
                <c:pt idx="290">
                  <c:v>8204.6121794871469</c:v>
                </c:pt>
                <c:pt idx="291">
                  <c:v>8204.6121794871469</c:v>
                </c:pt>
                <c:pt idx="292">
                  <c:v>8204.6121794871469</c:v>
                </c:pt>
                <c:pt idx="293">
                  <c:v>8204.6121794871469</c:v>
                </c:pt>
                <c:pt idx="294">
                  <c:v>8204.6121794871469</c:v>
                </c:pt>
                <c:pt idx="295">
                  <c:v>8204.6121794871469</c:v>
                </c:pt>
                <c:pt idx="296">
                  <c:v>8204.6121794871469</c:v>
                </c:pt>
                <c:pt idx="297">
                  <c:v>8204.6121794871469</c:v>
                </c:pt>
                <c:pt idx="298">
                  <c:v>8204.6121794871469</c:v>
                </c:pt>
                <c:pt idx="299">
                  <c:v>8204.6121794871469</c:v>
                </c:pt>
                <c:pt idx="300">
                  <c:v>8204.6121794871469</c:v>
                </c:pt>
                <c:pt idx="301">
                  <c:v>8204.6121794871469</c:v>
                </c:pt>
                <c:pt idx="302">
                  <c:v>8204.6121794871469</c:v>
                </c:pt>
                <c:pt idx="303">
                  <c:v>8204.6121794871469</c:v>
                </c:pt>
                <c:pt idx="304">
                  <c:v>8204.6121794871469</c:v>
                </c:pt>
                <c:pt idx="305">
                  <c:v>8204.6121794871469</c:v>
                </c:pt>
                <c:pt idx="306">
                  <c:v>8204.6121794871469</c:v>
                </c:pt>
                <c:pt idx="307">
                  <c:v>8204.6121794871469</c:v>
                </c:pt>
                <c:pt idx="308">
                  <c:v>8204.6121794871469</c:v>
                </c:pt>
                <c:pt idx="309">
                  <c:v>8204.6121794871469</c:v>
                </c:pt>
                <c:pt idx="310">
                  <c:v>8204.6121794871469</c:v>
                </c:pt>
                <c:pt idx="311">
                  <c:v>8204.6121794938845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4D-4752-BB45-2A04426664AE}"/>
            </c:ext>
          </c:extLst>
        </c:ser>
        <c:ser>
          <c:idx val="3"/>
          <c:order val="3"/>
          <c:tx>
            <c:strRef>
              <c:f>'Dynamisk plan'!$B$16</c:f>
              <c:strCache>
                <c:ptCount val="1"/>
                <c:pt idx="0">
                  <c:v>Tilleggs-nedbet.</c:v>
                </c:pt>
              </c:strCache>
            </c:strRef>
          </c:tx>
          <c:spPr>
            <a:solidFill>
              <a:srgbClr val="AECF00"/>
            </a:solidFill>
            <a:ln>
              <a:solidFill>
                <a:srgbClr val="000000"/>
              </a:solidFill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'Dynamisk plan'!$A$18:$A$377</c:f>
              <c:strCache>
                <c:ptCount val="360"/>
                <c:pt idx="0">
                  <c:v>Januar 2025</c:v>
                </c:pt>
                <c:pt idx="1">
                  <c:v>Februar 2025</c:v>
                </c:pt>
                <c:pt idx="2">
                  <c:v>Mars 2025</c:v>
                </c:pt>
                <c:pt idx="3">
                  <c:v>April 2025</c:v>
                </c:pt>
                <c:pt idx="4">
                  <c:v>Mai 2025</c:v>
                </c:pt>
                <c:pt idx="5">
                  <c:v>Juni 2025</c:v>
                </c:pt>
                <c:pt idx="6">
                  <c:v>Juli 2025</c:v>
                </c:pt>
                <c:pt idx="7">
                  <c:v>August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Desember 2025</c:v>
                </c:pt>
                <c:pt idx="12">
                  <c:v>Januar 2026</c:v>
                </c:pt>
                <c:pt idx="13">
                  <c:v>Februar 2026</c:v>
                </c:pt>
                <c:pt idx="14">
                  <c:v>Mars 2026</c:v>
                </c:pt>
                <c:pt idx="15">
                  <c:v>April 2026</c:v>
                </c:pt>
                <c:pt idx="16">
                  <c:v>Mai 2026</c:v>
                </c:pt>
                <c:pt idx="17">
                  <c:v>Juni 2026</c:v>
                </c:pt>
                <c:pt idx="18">
                  <c:v>Juli 2026</c:v>
                </c:pt>
                <c:pt idx="19">
                  <c:v>August 2026</c:v>
                </c:pt>
                <c:pt idx="20">
                  <c:v>September 2026</c:v>
                </c:pt>
                <c:pt idx="21">
                  <c:v>Oktober 2026</c:v>
                </c:pt>
                <c:pt idx="22">
                  <c:v>November 2026</c:v>
                </c:pt>
                <c:pt idx="23">
                  <c:v>Desember 2026</c:v>
                </c:pt>
                <c:pt idx="24">
                  <c:v>Januar 2027</c:v>
                </c:pt>
                <c:pt idx="25">
                  <c:v>Februar 2027</c:v>
                </c:pt>
                <c:pt idx="26">
                  <c:v>Mars 2027</c:v>
                </c:pt>
                <c:pt idx="27">
                  <c:v>April 2027</c:v>
                </c:pt>
                <c:pt idx="28">
                  <c:v>Mai 2027</c:v>
                </c:pt>
                <c:pt idx="29">
                  <c:v>Juni 2027</c:v>
                </c:pt>
                <c:pt idx="30">
                  <c:v>Juli 2027</c:v>
                </c:pt>
                <c:pt idx="31">
                  <c:v>August 2027</c:v>
                </c:pt>
                <c:pt idx="32">
                  <c:v>September 2027</c:v>
                </c:pt>
                <c:pt idx="33">
                  <c:v>Oktober 2027</c:v>
                </c:pt>
                <c:pt idx="34">
                  <c:v>November 2027</c:v>
                </c:pt>
                <c:pt idx="35">
                  <c:v>Desember 2027</c:v>
                </c:pt>
                <c:pt idx="36">
                  <c:v>Januar 2028</c:v>
                </c:pt>
                <c:pt idx="37">
                  <c:v>Februar 2028</c:v>
                </c:pt>
                <c:pt idx="38">
                  <c:v>Mars 2028</c:v>
                </c:pt>
                <c:pt idx="39">
                  <c:v>April 2028</c:v>
                </c:pt>
                <c:pt idx="40">
                  <c:v>Mai 2028</c:v>
                </c:pt>
                <c:pt idx="41">
                  <c:v>Juni 2028</c:v>
                </c:pt>
                <c:pt idx="42">
                  <c:v>Juli 2028</c:v>
                </c:pt>
                <c:pt idx="43">
                  <c:v>August 2028</c:v>
                </c:pt>
                <c:pt idx="44">
                  <c:v>September 2028</c:v>
                </c:pt>
                <c:pt idx="45">
                  <c:v>Oktober 2028</c:v>
                </c:pt>
                <c:pt idx="46">
                  <c:v>November 2028</c:v>
                </c:pt>
                <c:pt idx="47">
                  <c:v>Desember 2028</c:v>
                </c:pt>
                <c:pt idx="48">
                  <c:v>Januar 2029</c:v>
                </c:pt>
                <c:pt idx="49">
                  <c:v>Februar 2029</c:v>
                </c:pt>
                <c:pt idx="50">
                  <c:v>Mars 2029</c:v>
                </c:pt>
                <c:pt idx="51">
                  <c:v>April 2029</c:v>
                </c:pt>
                <c:pt idx="52">
                  <c:v>Mai 2029</c:v>
                </c:pt>
                <c:pt idx="53">
                  <c:v>Juni 2029</c:v>
                </c:pt>
                <c:pt idx="54">
                  <c:v>Juli 2029</c:v>
                </c:pt>
                <c:pt idx="55">
                  <c:v>August 2029</c:v>
                </c:pt>
                <c:pt idx="56">
                  <c:v>September 2029</c:v>
                </c:pt>
                <c:pt idx="57">
                  <c:v>Oktober 2029</c:v>
                </c:pt>
                <c:pt idx="58">
                  <c:v>November 2029</c:v>
                </c:pt>
                <c:pt idx="59">
                  <c:v>Desember 2029</c:v>
                </c:pt>
                <c:pt idx="60">
                  <c:v>Januar 2030</c:v>
                </c:pt>
                <c:pt idx="61">
                  <c:v>Februar 2030</c:v>
                </c:pt>
                <c:pt idx="62">
                  <c:v>Mars 2030</c:v>
                </c:pt>
                <c:pt idx="63">
                  <c:v>April 2030</c:v>
                </c:pt>
                <c:pt idx="64">
                  <c:v>Mai 2030</c:v>
                </c:pt>
                <c:pt idx="65">
                  <c:v>Juni 2030</c:v>
                </c:pt>
                <c:pt idx="66">
                  <c:v>Juli 2030</c:v>
                </c:pt>
                <c:pt idx="67">
                  <c:v>August 2030</c:v>
                </c:pt>
                <c:pt idx="68">
                  <c:v>September 2030</c:v>
                </c:pt>
                <c:pt idx="69">
                  <c:v>Oktober 2030</c:v>
                </c:pt>
                <c:pt idx="70">
                  <c:v>November 2030</c:v>
                </c:pt>
                <c:pt idx="71">
                  <c:v>Desember 2030</c:v>
                </c:pt>
                <c:pt idx="72">
                  <c:v>Januar 2031</c:v>
                </c:pt>
                <c:pt idx="73">
                  <c:v>Februar 2031</c:v>
                </c:pt>
                <c:pt idx="74">
                  <c:v>Mars 2031</c:v>
                </c:pt>
                <c:pt idx="75">
                  <c:v>April 2031</c:v>
                </c:pt>
                <c:pt idx="76">
                  <c:v>Mai 2031</c:v>
                </c:pt>
                <c:pt idx="77">
                  <c:v>Juni 2031</c:v>
                </c:pt>
                <c:pt idx="78">
                  <c:v>Juli 2031</c:v>
                </c:pt>
                <c:pt idx="79">
                  <c:v>August 2031</c:v>
                </c:pt>
                <c:pt idx="80">
                  <c:v>September 2031</c:v>
                </c:pt>
                <c:pt idx="81">
                  <c:v>Oktober 2031</c:v>
                </c:pt>
                <c:pt idx="82">
                  <c:v>November 2031</c:v>
                </c:pt>
                <c:pt idx="83">
                  <c:v>Desember 2031</c:v>
                </c:pt>
                <c:pt idx="84">
                  <c:v>Januar 2032</c:v>
                </c:pt>
                <c:pt idx="85">
                  <c:v>Februar 2032</c:v>
                </c:pt>
                <c:pt idx="86">
                  <c:v>Mars 2032</c:v>
                </c:pt>
                <c:pt idx="87">
                  <c:v>April 2032</c:v>
                </c:pt>
                <c:pt idx="88">
                  <c:v>Mai 2032</c:v>
                </c:pt>
                <c:pt idx="89">
                  <c:v>Juni 2032</c:v>
                </c:pt>
                <c:pt idx="90">
                  <c:v>Juli 2032</c:v>
                </c:pt>
                <c:pt idx="91">
                  <c:v>August 2032</c:v>
                </c:pt>
                <c:pt idx="92">
                  <c:v>September 2032</c:v>
                </c:pt>
                <c:pt idx="93">
                  <c:v>Oktober 2032</c:v>
                </c:pt>
                <c:pt idx="94">
                  <c:v>November 2032</c:v>
                </c:pt>
                <c:pt idx="95">
                  <c:v>Desember 2032</c:v>
                </c:pt>
                <c:pt idx="96">
                  <c:v>Januar 2033</c:v>
                </c:pt>
                <c:pt idx="97">
                  <c:v>Februar 2033</c:v>
                </c:pt>
                <c:pt idx="98">
                  <c:v>Mars 2033</c:v>
                </c:pt>
                <c:pt idx="99">
                  <c:v>April 2033</c:v>
                </c:pt>
                <c:pt idx="100">
                  <c:v>Mai 2033</c:v>
                </c:pt>
                <c:pt idx="101">
                  <c:v>Juni 2033</c:v>
                </c:pt>
                <c:pt idx="102">
                  <c:v>Juli 2033</c:v>
                </c:pt>
                <c:pt idx="103">
                  <c:v>August 2033</c:v>
                </c:pt>
                <c:pt idx="104">
                  <c:v>September 2033</c:v>
                </c:pt>
                <c:pt idx="105">
                  <c:v>Oktober 2033</c:v>
                </c:pt>
                <c:pt idx="106">
                  <c:v>November 2033</c:v>
                </c:pt>
                <c:pt idx="107">
                  <c:v>Desember 2033</c:v>
                </c:pt>
                <c:pt idx="108">
                  <c:v>Januar 2034</c:v>
                </c:pt>
                <c:pt idx="109">
                  <c:v>Februar 2034</c:v>
                </c:pt>
                <c:pt idx="110">
                  <c:v>Mars 2034</c:v>
                </c:pt>
                <c:pt idx="111">
                  <c:v>April 2034</c:v>
                </c:pt>
                <c:pt idx="112">
                  <c:v>Mai 2034</c:v>
                </c:pt>
                <c:pt idx="113">
                  <c:v>Juni 2034</c:v>
                </c:pt>
                <c:pt idx="114">
                  <c:v>Juli 2034</c:v>
                </c:pt>
                <c:pt idx="115">
                  <c:v>August 2034</c:v>
                </c:pt>
                <c:pt idx="116">
                  <c:v>September 2034</c:v>
                </c:pt>
                <c:pt idx="117">
                  <c:v>Oktober 2034</c:v>
                </c:pt>
                <c:pt idx="118">
                  <c:v>November 2034</c:v>
                </c:pt>
                <c:pt idx="119">
                  <c:v>Desember 2034</c:v>
                </c:pt>
                <c:pt idx="120">
                  <c:v>Januar 2035</c:v>
                </c:pt>
                <c:pt idx="121">
                  <c:v>Februar 2035</c:v>
                </c:pt>
                <c:pt idx="122">
                  <c:v>Mars 2035</c:v>
                </c:pt>
                <c:pt idx="123">
                  <c:v>April 2035</c:v>
                </c:pt>
                <c:pt idx="124">
                  <c:v>Mai 2035</c:v>
                </c:pt>
                <c:pt idx="125">
                  <c:v>Juni 2035</c:v>
                </c:pt>
                <c:pt idx="126">
                  <c:v>Juli 2035</c:v>
                </c:pt>
                <c:pt idx="127">
                  <c:v>August 2035</c:v>
                </c:pt>
                <c:pt idx="128">
                  <c:v>September 2035</c:v>
                </c:pt>
                <c:pt idx="129">
                  <c:v>Oktober 2035</c:v>
                </c:pt>
                <c:pt idx="130">
                  <c:v>November 2035</c:v>
                </c:pt>
                <c:pt idx="131">
                  <c:v>Desember 2035</c:v>
                </c:pt>
                <c:pt idx="132">
                  <c:v>Januar 2036</c:v>
                </c:pt>
                <c:pt idx="133">
                  <c:v>Februar 2036</c:v>
                </c:pt>
                <c:pt idx="134">
                  <c:v>Mars 2036</c:v>
                </c:pt>
                <c:pt idx="135">
                  <c:v>April 2036</c:v>
                </c:pt>
                <c:pt idx="136">
                  <c:v>Mai 2036</c:v>
                </c:pt>
                <c:pt idx="137">
                  <c:v>Juni 2036</c:v>
                </c:pt>
                <c:pt idx="138">
                  <c:v>Juli 2036</c:v>
                </c:pt>
                <c:pt idx="139">
                  <c:v>August 2036</c:v>
                </c:pt>
                <c:pt idx="140">
                  <c:v>September 2036</c:v>
                </c:pt>
                <c:pt idx="141">
                  <c:v>Oktober 2036</c:v>
                </c:pt>
                <c:pt idx="142">
                  <c:v>November 2036</c:v>
                </c:pt>
                <c:pt idx="143">
                  <c:v>Desember 2036</c:v>
                </c:pt>
                <c:pt idx="144">
                  <c:v>Januar 2037</c:v>
                </c:pt>
                <c:pt idx="145">
                  <c:v>Februar 2037</c:v>
                </c:pt>
                <c:pt idx="146">
                  <c:v>Mars 2037</c:v>
                </c:pt>
                <c:pt idx="147">
                  <c:v>April 2037</c:v>
                </c:pt>
                <c:pt idx="148">
                  <c:v>Mai 2037</c:v>
                </c:pt>
                <c:pt idx="149">
                  <c:v>Juni 2037</c:v>
                </c:pt>
                <c:pt idx="150">
                  <c:v>Juli 2037</c:v>
                </c:pt>
                <c:pt idx="151">
                  <c:v>August 2037</c:v>
                </c:pt>
                <c:pt idx="152">
                  <c:v>September 2037</c:v>
                </c:pt>
                <c:pt idx="153">
                  <c:v>Oktober 2037</c:v>
                </c:pt>
                <c:pt idx="154">
                  <c:v>November 2037</c:v>
                </c:pt>
                <c:pt idx="155">
                  <c:v>Desember 2037</c:v>
                </c:pt>
                <c:pt idx="156">
                  <c:v>Januar 2038</c:v>
                </c:pt>
                <c:pt idx="157">
                  <c:v>Februar 2038</c:v>
                </c:pt>
                <c:pt idx="158">
                  <c:v>Mars 2038</c:v>
                </c:pt>
                <c:pt idx="159">
                  <c:v>April 2038</c:v>
                </c:pt>
                <c:pt idx="160">
                  <c:v>Mai 2038</c:v>
                </c:pt>
                <c:pt idx="161">
                  <c:v>Juni 2038</c:v>
                </c:pt>
                <c:pt idx="162">
                  <c:v>Juli 2038</c:v>
                </c:pt>
                <c:pt idx="163">
                  <c:v>August 2038</c:v>
                </c:pt>
                <c:pt idx="164">
                  <c:v>September 2038</c:v>
                </c:pt>
                <c:pt idx="165">
                  <c:v>Oktober 2038</c:v>
                </c:pt>
                <c:pt idx="166">
                  <c:v>November 2038</c:v>
                </c:pt>
                <c:pt idx="167">
                  <c:v>Desember 2038</c:v>
                </c:pt>
                <c:pt idx="168">
                  <c:v>Januar 2039</c:v>
                </c:pt>
                <c:pt idx="169">
                  <c:v>Februar 2039</c:v>
                </c:pt>
                <c:pt idx="170">
                  <c:v>Mars 2039</c:v>
                </c:pt>
                <c:pt idx="171">
                  <c:v>April 2039</c:v>
                </c:pt>
                <c:pt idx="172">
                  <c:v>Mai 2039</c:v>
                </c:pt>
                <c:pt idx="173">
                  <c:v>Juni 2039</c:v>
                </c:pt>
                <c:pt idx="174">
                  <c:v>Juli 2039</c:v>
                </c:pt>
                <c:pt idx="175">
                  <c:v>August 2039</c:v>
                </c:pt>
                <c:pt idx="176">
                  <c:v>September 2039</c:v>
                </c:pt>
                <c:pt idx="177">
                  <c:v>Oktober 2039</c:v>
                </c:pt>
                <c:pt idx="178">
                  <c:v>November 2039</c:v>
                </c:pt>
                <c:pt idx="179">
                  <c:v>Desember 2039</c:v>
                </c:pt>
                <c:pt idx="180">
                  <c:v>Januar 2040</c:v>
                </c:pt>
                <c:pt idx="181">
                  <c:v>Februar 2040</c:v>
                </c:pt>
                <c:pt idx="182">
                  <c:v>Mars 2040</c:v>
                </c:pt>
                <c:pt idx="183">
                  <c:v>April 2040</c:v>
                </c:pt>
                <c:pt idx="184">
                  <c:v>Mai 2040</c:v>
                </c:pt>
                <c:pt idx="185">
                  <c:v>Juni 2040</c:v>
                </c:pt>
                <c:pt idx="186">
                  <c:v>Juli 2040</c:v>
                </c:pt>
                <c:pt idx="187">
                  <c:v>August 2040</c:v>
                </c:pt>
                <c:pt idx="188">
                  <c:v>September 2040</c:v>
                </c:pt>
                <c:pt idx="189">
                  <c:v>Oktober 2040</c:v>
                </c:pt>
                <c:pt idx="190">
                  <c:v>November 2040</c:v>
                </c:pt>
                <c:pt idx="191">
                  <c:v>Desember 2040</c:v>
                </c:pt>
                <c:pt idx="192">
                  <c:v>Januar 2041</c:v>
                </c:pt>
                <c:pt idx="193">
                  <c:v>Februar 2041</c:v>
                </c:pt>
                <c:pt idx="194">
                  <c:v>Mars 2041</c:v>
                </c:pt>
                <c:pt idx="195">
                  <c:v>April 2041</c:v>
                </c:pt>
                <c:pt idx="196">
                  <c:v>Mai 2041</c:v>
                </c:pt>
                <c:pt idx="197">
                  <c:v>Juni 2041</c:v>
                </c:pt>
                <c:pt idx="198">
                  <c:v>Juli 2041</c:v>
                </c:pt>
                <c:pt idx="199">
                  <c:v>August 2041</c:v>
                </c:pt>
                <c:pt idx="200">
                  <c:v>September 2041</c:v>
                </c:pt>
                <c:pt idx="201">
                  <c:v>Oktober 2041</c:v>
                </c:pt>
                <c:pt idx="202">
                  <c:v>November 2041</c:v>
                </c:pt>
                <c:pt idx="203">
                  <c:v>Desember 2041</c:v>
                </c:pt>
                <c:pt idx="204">
                  <c:v>Januar 2042</c:v>
                </c:pt>
                <c:pt idx="205">
                  <c:v>Februar 2042</c:v>
                </c:pt>
                <c:pt idx="206">
                  <c:v>Mars 2042</c:v>
                </c:pt>
                <c:pt idx="207">
                  <c:v>April 2042</c:v>
                </c:pt>
                <c:pt idx="208">
                  <c:v>Mai 2042</c:v>
                </c:pt>
                <c:pt idx="209">
                  <c:v>Juni 2042</c:v>
                </c:pt>
                <c:pt idx="210">
                  <c:v>Juli 2042</c:v>
                </c:pt>
                <c:pt idx="211">
                  <c:v>August 2042</c:v>
                </c:pt>
                <c:pt idx="212">
                  <c:v>September 2042</c:v>
                </c:pt>
                <c:pt idx="213">
                  <c:v>Oktober 2042</c:v>
                </c:pt>
                <c:pt idx="214">
                  <c:v>November 2042</c:v>
                </c:pt>
                <c:pt idx="215">
                  <c:v>Desember 2042</c:v>
                </c:pt>
                <c:pt idx="216">
                  <c:v>Januar 2043</c:v>
                </c:pt>
                <c:pt idx="217">
                  <c:v>Februar 2043</c:v>
                </c:pt>
                <c:pt idx="218">
                  <c:v>Mars 2043</c:v>
                </c:pt>
                <c:pt idx="219">
                  <c:v>April 2043</c:v>
                </c:pt>
                <c:pt idx="220">
                  <c:v>Mai 2043</c:v>
                </c:pt>
                <c:pt idx="221">
                  <c:v>Juni 2043</c:v>
                </c:pt>
                <c:pt idx="222">
                  <c:v>Juli 2043</c:v>
                </c:pt>
                <c:pt idx="223">
                  <c:v>August 2043</c:v>
                </c:pt>
                <c:pt idx="224">
                  <c:v>September 2043</c:v>
                </c:pt>
                <c:pt idx="225">
                  <c:v>Oktober 2043</c:v>
                </c:pt>
                <c:pt idx="226">
                  <c:v>November 2043</c:v>
                </c:pt>
                <c:pt idx="227">
                  <c:v>Desember 2043</c:v>
                </c:pt>
                <c:pt idx="228">
                  <c:v>Januar 2044</c:v>
                </c:pt>
                <c:pt idx="229">
                  <c:v>Februar 2044</c:v>
                </c:pt>
                <c:pt idx="230">
                  <c:v>Mars 2044</c:v>
                </c:pt>
                <c:pt idx="231">
                  <c:v>April 2044</c:v>
                </c:pt>
                <c:pt idx="232">
                  <c:v>Mai 2044</c:v>
                </c:pt>
                <c:pt idx="233">
                  <c:v>Juni 2044</c:v>
                </c:pt>
                <c:pt idx="234">
                  <c:v>Juli 2044</c:v>
                </c:pt>
                <c:pt idx="235">
                  <c:v>August 2044</c:v>
                </c:pt>
                <c:pt idx="236">
                  <c:v>September 2044</c:v>
                </c:pt>
                <c:pt idx="237">
                  <c:v>Oktober 2044</c:v>
                </c:pt>
                <c:pt idx="238">
                  <c:v>November 2044</c:v>
                </c:pt>
                <c:pt idx="239">
                  <c:v>Desember 2044</c:v>
                </c:pt>
                <c:pt idx="240">
                  <c:v>Januar 2045</c:v>
                </c:pt>
                <c:pt idx="241">
                  <c:v>Februar 2045</c:v>
                </c:pt>
                <c:pt idx="242">
                  <c:v>Mars 2045</c:v>
                </c:pt>
                <c:pt idx="243">
                  <c:v>April 2045</c:v>
                </c:pt>
                <c:pt idx="244">
                  <c:v>Mai 2045</c:v>
                </c:pt>
                <c:pt idx="245">
                  <c:v>Juni 2045</c:v>
                </c:pt>
                <c:pt idx="246">
                  <c:v>Juli 2045</c:v>
                </c:pt>
                <c:pt idx="247">
                  <c:v>August 2045</c:v>
                </c:pt>
                <c:pt idx="248">
                  <c:v>September 2045</c:v>
                </c:pt>
                <c:pt idx="249">
                  <c:v>Oktober 2045</c:v>
                </c:pt>
                <c:pt idx="250">
                  <c:v>November 2045</c:v>
                </c:pt>
                <c:pt idx="251">
                  <c:v>Desember 2045</c:v>
                </c:pt>
                <c:pt idx="252">
                  <c:v>Januar 2046</c:v>
                </c:pt>
                <c:pt idx="253">
                  <c:v>Februar 2046</c:v>
                </c:pt>
                <c:pt idx="254">
                  <c:v>Mars 2046</c:v>
                </c:pt>
                <c:pt idx="255">
                  <c:v>April 2046</c:v>
                </c:pt>
                <c:pt idx="256">
                  <c:v>Mai 2046</c:v>
                </c:pt>
                <c:pt idx="257">
                  <c:v>Juni 2046</c:v>
                </c:pt>
                <c:pt idx="258">
                  <c:v>Juli 2046</c:v>
                </c:pt>
                <c:pt idx="259">
                  <c:v>August 2046</c:v>
                </c:pt>
                <c:pt idx="260">
                  <c:v>September 2046</c:v>
                </c:pt>
                <c:pt idx="261">
                  <c:v>Oktober 2046</c:v>
                </c:pt>
                <c:pt idx="262">
                  <c:v>November 2046</c:v>
                </c:pt>
                <c:pt idx="263">
                  <c:v>Desember 2046</c:v>
                </c:pt>
                <c:pt idx="264">
                  <c:v>Januar 2047</c:v>
                </c:pt>
                <c:pt idx="265">
                  <c:v>Februar 2047</c:v>
                </c:pt>
                <c:pt idx="266">
                  <c:v>Mars 2047</c:v>
                </c:pt>
                <c:pt idx="267">
                  <c:v>April 2047</c:v>
                </c:pt>
                <c:pt idx="268">
                  <c:v>Mai 2047</c:v>
                </c:pt>
                <c:pt idx="269">
                  <c:v>Juni 2047</c:v>
                </c:pt>
                <c:pt idx="270">
                  <c:v>Juli 2047</c:v>
                </c:pt>
                <c:pt idx="271">
                  <c:v>August 2047</c:v>
                </c:pt>
                <c:pt idx="272">
                  <c:v>September 2047</c:v>
                </c:pt>
                <c:pt idx="273">
                  <c:v>Oktober 2047</c:v>
                </c:pt>
                <c:pt idx="274">
                  <c:v>November 2047</c:v>
                </c:pt>
                <c:pt idx="275">
                  <c:v>Desember 2047</c:v>
                </c:pt>
                <c:pt idx="276">
                  <c:v>Januar 2048</c:v>
                </c:pt>
                <c:pt idx="277">
                  <c:v>Februar 2048</c:v>
                </c:pt>
                <c:pt idx="278">
                  <c:v>Mars 2048</c:v>
                </c:pt>
                <c:pt idx="279">
                  <c:v>April 2048</c:v>
                </c:pt>
                <c:pt idx="280">
                  <c:v>Mai 2048</c:v>
                </c:pt>
                <c:pt idx="281">
                  <c:v>Juni 2048</c:v>
                </c:pt>
                <c:pt idx="282">
                  <c:v>Juli 2048</c:v>
                </c:pt>
                <c:pt idx="283">
                  <c:v>August 2048</c:v>
                </c:pt>
                <c:pt idx="284">
                  <c:v>September 2048</c:v>
                </c:pt>
                <c:pt idx="285">
                  <c:v>Oktober 2048</c:v>
                </c:pt>
                <c:pt idx="286">
                  <c:v>November 2048</c:v>
                </c:pt>
                <c:pt idx="287">
                  <c:v>Desember 2048</c:v>
                </c:pt>
                <c:pt idx="288">
                  <c:v>Januar 2049</c:v>
                </c:pt>
                <c:pt idx="289">
                  <c:v>Februar 2049</c:v>
                </c:pt>
                <c:pt idx="290">
                  <c:v>Mars 2049</c:v>
                </c:pt>
                <c:pt idx="291">
                  <c:v>April 2049</c:v>
                </c:pt>
                <c:pt idx="292">
                  <c:v>Mai 2049</c:v>
                </c:pt>
                <c:pt idx="293">
                  <c:v>Juni 2049</c:v>
                </c:pt>
                <c:pt idx="294">
                  <c:v>Juli 2049</c:v>
                </c:pt>
                <c:pt idx="295">
                  <c:v>August 2049</c:v>
                </c:pt>
                <c:pt idx="296">
                  <c:v>September 2049</c:v>
                </c:pt>
                <c:pt idx="297">
                  <c:v>Oktober 2049</c:v>
                </c:pt>
                <c:pt idx="298">
                  <c:v>November 2049</c:v>
                </c:pt>
                <c:pt idx="299">
                  <c:v>Desember 2049</c:v>
                </c:pt>
                <c:pt idx="300">
                  <c:v>Januar 2050</c:v>
                </c:pt>
                <c:pt idx="301">
                  <c:v>Februar 2050</c:v>
                </c:pt>
                <c:pt idx="302">
                  <c:v>Mars 2050</c:v>
                </c:pt>
                <c:pt idx="303">
                  <c:v>April 2050</c:v>
                </c:pt>
                <c:pt idx="304">
                  <c:v>Mai 2050</c:v>
                </c:pt>
                <c:pt idx="305">
                  <c:v>Juni 2050</c:v>
                </c:pt>
                <c:pt idx="306">
                  <c:v>Juli 2050</c:v>
                </c:pt>
                <c:pt idx="307">
                  <c:v>August 2050</c:v>
                </c:pt>
                <c:pt idx="308">
                  <c:v>September 2050</c:v>
                </c:pt>
                <c:pt idx="309">
                  <c:v>Oktober 2050</c:v>
                </c:pt>
                <c:pt idx="310">
                  <c:v>November 2050</c:v>
                </c:pt>
                <c:pt idx="311">
                  <c:v>Desember 2050</c:v>
                </c:pt>
                <c:pt idx="312">
                  <c:v>Januar 2051</c:v>
                </c:pt>
                <c:pt idx="313">
                  <c:v>Februar 2051</c:v>
                </c:pt>
                <c:pt idx="314">
                  <c:v>Mars 2051</c:v>
                </c:pt>
                <c:pt idx="315">
                  <c:v>April 2051</c:v>
                </c:pt>
                <c:pt idx="316">
                  <c:v>Mai 2051</c:v>
                </c:pt>
                <c:pt idx="317">
                  <c:v>Juni 2051</c:v>
                </c:pt>
                <c:pt idx="318">
                  <c:v>Juli 2051</c:v>
                </c:pt>
                <c:pt idx="319">
                  <c:v>August 2051</c:v>
                </c:pt>
                <c:pt idx="320">
                  <c:v>September 2051</c:v>
                </c:pt>
                <c:pt idx="321">
                  <c:v>Oktober 2051</c:v>
                </c:pt>
                <c:pt idx="322">
                  <c:v>November 2051</c:v>
                </c:pt>
                <c:pt idx="323">
                  <c:v>Desember 2051</c:v>
                </c:pt>
                <c:pt idx="324">
                  <c:v>Januar 2052</c:v>
                </c:pt>
                <c:pt idx="325">
                  <c:v>Februar 2052</c:v>
                </c:pt>
                <c:pt idx="326">
                  <c:v>Mars 2052</c:v>
                </c:pt>
                <c:pt idx="327">
                  <c:v>April 2052</c:v>
                </c:pt>
                <c:pt idx="328">
                  <c:v>Mai 2052</c:v>
                </c:pt>
                <c:pt idx="329">
                  <c:v>Juni 2052</c:v>
                </c:pt>
                <c:pt idx="330">
                  <c:v>Juli 2052</c:v>
                </c:pt>
                <c:pt idx="331">
                  <c:v>August 2052</c:v>
                </c:pt>
                <c:pt idx="332">
                  <c:v>September 2052</c:v>
                </c:pt>
                <c:pt idx="333">
                  <c:v>Oktober 2052</c:v>
                </c:pt>
                <c:pt idx="334">
                  <c:v>November 2052</c:v>
                </c:pt>
                <c:pt idx="335">
                  <c:v>Desember 2052</c:v>
                </c:pt>
                <c:pt idx="336">
                  <c:v>Januar 2053</c:v>
                </c:pt>
                <c:pt idx="337">
                  <c:v>Februar 2053</c:v>
                </c:pt>
                <c:pt idx="338">
                  <c:v>Mars 2053</c:v>
                </c:pt>
                <c:pt idx="339">
                  <c:v>April 2053</c:v>
                </c:pt>
                <c:pt idx="340">
                  <c:v>Mai 2053</c:v>
                </c:pt>
                <c:pt idx="341">
                  <c:v>Juni 2053</c:v>
                </c:pt>
                <c:pt idx="342">
                  <c:v>Juli 2053</c:v>
                </c:pt>
                <c:pt idx="343">
                  <c:v>August 2053</c:v>
                </c:pt>
                <c:pt idx="344">
                  <c:v>September 2053</c:v>
                </c:pt>
                <c:pt idx="345">
                  <c:v>Oktober 2053</c:v>
                </c:pt>
                <c:pt idx="346">
                  <c:v>November 2053</c:v>
                </c:pt>
                <c:pt idx="347">
                  <c:v>Desember 2053</c:v>
                </c:pt>
                <c:pt idx="348">
                  <c:v>Januar 2054</c:v>
                </c:pt>
                <c:pt idx="349">
                  <c:v>Februar 2054</c:v>
                </c:pt>
                <c:pt idx="350">
                  <c:v>Mars 2054</c:v>
                </c:pt>
                <c:pt idx="351">
                  <c:v>April 2054</c:v>
                </c:pt>
                <c:pt idx="352">
                  <c:v>Mai 2054</c:v>
                </c:pt>
                <c:pt idx="353">
                  <c:v>Juni 2054</c:v>
                </c:pt>
                <c:pt idx="354">
                  <c:v>Juli 2054</c:v>
                </c:pt>
                <c:pt idx="355">
                  <c:v>August 2054</c:v>
                </c:pt>
                <c:pt idx="356">
                  <c:v>September 2054</c:v>
                </c:pt>
                <c:pt idx="357">
                  <c:v>Oktober 2054</c:v>
                </c:pt>
                <c:pt idx="358">
                  <c:v>November 2054</c:v>
                </c:pt>
                <c:pt idx="359">
                  <c:v>Desember 2054</c:v>
                </c:pt>
              </c:strCache>
            </c:strRef>
          </c:cat>
          <c:val>
            <c:numRef>
              <c:f>'Dynamisk plan'!$B$18:$B$377</c:f>
              <c:numCache>
                <c:formatCode>[$kr-414]\ #,##0;\-[$kr-414]\ #,##0</c:formatCode>
                <c:ptCount val="360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4D-4752-BB45-2A04426664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3237947"/>
        <c:axId val="2242537"/>
        <c:axId val="0"/>
      </c:area3DChart>
      <c:catAx>
        <c:axId val="3323794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solidFill>
              <a:srgbClr val="B3B3B3"/>
            </a:solidFill>
          </a:ln>
        </c:spPr>
        <c:txPr>
          <a:bodyPr rot="-5400000"/>
          <a:lstStyle/>
          <a:p>
            <a:pPr>
              <a:defRPr sz="800" b="0" strike="noStrike" spc="-1">
                <a:latin typeface="Arial"/>
              </a:defRPr>
            </a:pPr>
            <a:endParaRPr lang="nb-NO"/>
          </a:p>
        </c:txPr>
        <c:crossAx val="2242537"/>
        <c:crosses val="autoZero"/>
        <c:auto val="1"/>
        <c:lblAlgn val="ctr"/>
        <c:lblOffset val="100"/>
        <c:noMultiLvlLbl val="1"/>
      </c:catAx>
      <c:valAx>
        <c:axId val="2242537"/>
        <c:scaling>
          <c:orientation val="minMax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[$kr-414]\ #,##0;\-[$kr-414]\ #,##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800" b="0" strike="noStrike" spc="-1">
                <a:latin typeface="Arial"/>
              </a:defRPr>
            </a:pPr>
            <a:endParaRPr lang="nb-NO"/>
          </a:p>
        </c:txPr>
        <c:crossAx val="33237947"/>
        <c:crosses val="min"/>
        <c:crossBetween val="midCat"/>
      </c:valAx>
    </c:plotArea>
    <c:legend>
      <c:legendPos val="r"/>
      <c:layout>
        <c:manualLayout>
          <c:xMode val="edge"/>
          <c:yMode val="edge"/>
          <c:x val="0.83676868623776801"/>
          <c:y val="2.91982079406767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1552" b="0" strike="noStrike" spc="-1">
              <a:latin typeface="Arial"/>
            </a:defRPr>
          </a:pPr>
          <a:endParaRPr lang="nb-NO"/>
        </a:p>
      </c:txPr>
    </c:legend>
    <c:plotVisOnly val="0"/>
    <c:dispBlanksAs val="zero"/>
    <c:showDLblsOverMax val="1"/>
  </c:chart>
  <c:spPr>
    <a:solidFill>
      <a:srgbClr val="FFFFFF"/>
    </a:solidFill>
    <a:ln>
      <a:noFill/>
    </a:ln>
  </c:sp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c:style val="2"/>
  <c:chart>
    <c:autoTitleDeleted val="1"/>
    <c:view3D>
      <c:rotX val="5"/>
      <c:rotY val="5"/>
      <c:rAngAx val="1"/>
    </c:view3D>
    <c:floor>
      <c:thickness val="0"/>
      <c:spPr>
        <a:solidFill>
          <a:srgbClr val="CCCCCC"/>
        </a:solidFill>
        <a:ln>
          <a:noFill/>
        </a:ln>
      </c:spPr>
    </c:floor>
    <c:sideWall>
      <c:thickness val="0"/>
      <c:spPr>
        <a:noFill/>
        <a:ln>
          <a:solidFill>
            <a:srgbClr val="B3B3B3"/>
          </a:solidFill>
        </a:ln>
      </c:spPr>
    </c:sideWall>
    <c:backWall>
      <c:thickness val="0"/>
      <c:spPr>
        <a:noFill/>
        <a:ln>
          <a:solidFill>
            <a:srgbClr val="B3B3B3"/>
          </a:solidFill>
        </a:ln>
      </c:spPr>
    </c:backWall>
    <c:plotArea>
      <c:layout>
        <c:manualLayout>
          <c:layoutTarget val="inner"/>
          <c:xMode val="edge"/>
          <c:yMode val="edge"/>
          <c:x val="6.6625026025400796E-2"/>
          <c:y val="2.1831381972493499E-2"/>
          <c:w val="0.79292703964783895"/>
          <c:h val="0.84441944884707798"/>
        </c:manualLayout>
      </c:layout>
      <c:area3DChart>
        <c:grouping val="standard"/>
        <c:varyColors val="1"/>
        <c:ser>
          <c:idx val="0"/>
          <c:order val="0"/>
          <c:tx>
            <c:strRef>
              <c:f>'Dynamisk plan'!$O$15</c:f>
              <c:strCache>
                <c:ptCount val="1"/>
                <c:pt idx="0">
                  <c:v>Ekstra reduksjon av saldo så langt</c:v>
                </c:pt>
              </c:strCache>
            </c:strRef>
          </c:tx>
          <c:spPr>
            <a:solidFill>
              <a:srgbClr val="00FF00"/>
            </a:solidFill>
            <a:ln>
              <a:solidFill>
                <a:srgbClr val="000000"/>
              </a:solidFill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'Dynamisk plan'!$A$18:$A$377</c:f>
              <c:strCache>
                <c:ptCount val="360"/>
                <c:pt idx="0">
                  <c:v>Januar 2025</c:v>
                </c:pt>
                <c:pt idx="1">
                  <c:v>Februar 2025</c:v>
                </c:pt>
                <c:pt idx="2">
                  <c:v>Mars 2025</c:v>
                </c:pt>
                <c:pt idx="3">
                  <c:v>April 2025</c:v>
                </c:pt>
                <c:pt idx="4">
                  <c:v>Mai 2025</c:v>
                </c:pt>
                <c:pt idx="5">
                  <c:v>Juni 2025</c:v>
                </c:pt>
                <c:pt idx="6">
                  <c:v>Juli 2025</c:v>
                </c:pt>
                <c:pt idx="7">
                  <c:v>August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Desember 2025</c:v>
                </c:pt>
                <c:pt idx="12">
                  <c:v>Januar 2026</c:v>
                </c:pt>
                <c:pt idx="13">
                  <c:v>Februar 2026</c:v>
                </c:pt>
                <c:pt idx="14">
                  <c:v>Mars 2026</c:v>
                </c:pt>
                <c:pt idx="15">
                  <c:v>April 2026</c:v>
                </c:pt>
                <c:pt idx="16">
                  <c:v>Mai 2026</c:v>
                </c:pt>
                <c:pt idx="17">
                  <c:v>Juni 2026</c:v>
                </c:pt>
                <c:pt idx="18">
                  <c:v>Juli 2026</c:v>
                </c:pt>
                <c:pt idx="19">
                  <c:v>August 2026</c:v>
                </c:pt>
                <c:pt idx="20">
                  <c:v>September 2026</c:v>
                </c:pt>
                <c:pt idx="21">
                  <c:v>Oktober 2026</c:v>
                </c:pt>
                <c:pt idx="22">
                  <c:v>November 2026</c:v>
                </c:pt>
                <c:pt idx="23">
                  <c:v>Desember 2026</c:v>
                </c:pt>
                <c:pt idx="24">
                  <c:v>Januar 2027</c:v>
                </c:pt>
                <c:pt idx="25">
                  <c:v>Februar 2027</c:v>
                </c:pt>
                <c:pt idx="26">
                  <c:v>Mars 2027</c:v>
                </c:pt>
                <c:pt idx="27">
                  <c:v>April 2027</c:v>
                </c:pt>
                <c:pt idx="28">
                  <c:v>Mai 2027</c:v>
                </c:pt>
                <c:pt idx="29">
                  <c:v>Juni 2027</c:v>
                </c:pt>
                <c:pt idx="30">
                  <c:v>Juli 2027</c:v>
                </c:pt>
                <c:pt idx="31">
                  <c:v>August 2027</c:v>
                </c:pt>
                <c:pt idx="32">
                  <c:v>September 2027</c:v>
                </c:pt>
                <c:pt idx="33">
                  <c:v>Oktober 2027</c:v>
                </c:pt>
                <c:pt idx="34">
                  <c:v>November 2027</c:v>
                </c:pt>
                <c:pt idx="35">
                  <c:v>Desember 2027</c:v>
                </c:pt>
                <c:pt idx="36">
                  <c:v>Januar 2028</c:v>
                </c:pt>
                <c:pt idx="37">
                  <c:v>Februar 2028</c:v>
                </c:pt>
                <c:pt idx="38">
                  <c:v>Mars 2028</c:v>
                </c:pt>
                <c:pt idx="39">
                  <c:v>April 2028</c:v>
                </c:pt>
                <c:pt idx="40">
                  <c:v>Mai 2028</c:v>
                </c:pt>
                <c:pt idx="41">
                  <c:v>Juni 2028</c:v>
                </c:pt>
                <c:pt idx="42">
                  <c:v>Juli 2028</c:v>
                </c:pt>
                <c:pt idx="43">
                  <c:v>August 2028</c:v>
                </c:pt>
                <c:pt idx="44">
                  <c:v>September 2028</c:v>
                </c:pt>
                <c:pt idx="45">
                  <c:v>Oktober 2028</c:v>
                </c:pt>
                <c:pt idx="46">
                  <c:v>November 2028</c:v>
                </c:pt>
                <c:pt idx="47">
                  <c:v>Desember 2028</c:v>
                </c:pt>
                <c:pt idx="48">
                  <c:v>Januar 2029</c:v>
                </c:pt>
                <c:pt idx="49">
                  <c:v>Februar 2029</c:v>
                </c:pt>
                <c:pt idx="50">
                  <c:v>Mars 2029</c:v>
                </c:pt>
                <c:pt idx="51">
                  <c:v>April 2029</c:v>
                </c:pt>
                <c:pt idx="52">
                  <c:v>Mai 2029</c:v>
                </c:pt>
                <c:pt idx="53">
                  <c:v>Juni 2029</c:v>
                </c:pt>
                <c:pt idx="54">
                  <c:v>Juli 2029</c:v>
                </c:pt>
                <c:pt idx="55">
                  <c:v>August 2029</c:v>
                </c:pt>
                <c:pt idx="56">
                  <c:v>September 2029</c:v>
                </c:pt>
                <c:pt idx="57">
                  <c:v>Oktober 2029</c:v>
                </c:pt>
                <c:pt idx="58">
                  <c:v>November 2029</c:v>
                </c:pt>
                <c:pt idx="59">
                  <c:v>Desember 2029</c:v>
                </c:pt>
                <c:pt idx="60">
                  <c:v>Januar 2030</c:v>
                </c:pt>
                <c:pt idx="61">
                  <c:v>Februar 2030</c:v>
                </c:pt>
                <c:pt idx="62">
                  <c:v>Mars 2030</c:v>
                </c:pt>
                <c:pt idx="63">
                  <c:v>April 2030</c:v>
                </c:pt>
                <c:pt idx="64">
                  <c:v>Mai 2030</c:v>
                </c:pt>
                <c:pt idx="65">
                  <c:v>Juni 2030</c:v>
                </c:pt>
                <c:pt idx="66">
                  <c:v>Juli 2030</c:v>
                </c:pt>
                <c:pt idx="67">
                  <c:v>August 2030</c:v>
                </c:pt>
                <c:pt idx="68">
                  <c:v>September 2030</c:v>
                </c:pt>
                <c:pt idx="69">
                  <c:v>Oktober 2030</c:v>
                </c:pt>
                <c:pt idx="70">
                  <c:v>November 2030</c:v>
                </c:pt>
                <c:pt idx="71">
                  <c:v>Desember 2030</c:v>
                </c:pt>
                <c:pt idx="72">
                  <c:v>Januar 2031</c:v>
                </c:pt>
                <c:pt idx="73">
                  <c:v>Februar 2031</c:v>
                </c:pt>
                <c:pt idx="74">
                  <c:v>Mars 2031</c:v>
                </c:pt>
                <c:pt idx="75">
                  <c:v>April 2031</c:v>
                </c:pt>
                <c:pt idx="76">
                  <c:v>Mai 2031</c:v>
                </c:pt>
                <c:pt idx="77">
                  <c:v>Juni 2031</c:v>
                </c:pt>
                <c:pt idx="78">
                  <c:v>Juli 2031</c:v>
                </c:pt>
                <c:pt idx="79">
                  <c:v>August 2031</c:v>
                </c:pt>
                <c:pt idx="80">
                  <c:v>September 2031</c:v>
                </c:pt>
                <c:pt idx="81">
                  <c:v>Oktober 2031</c:v>
                </c:pt>
                <c:pt idx="82">
                  <c:v>November 2031</c:v>
                </c:pt>
                <c:pt idx="83">
                  <c:v>Desember 2031</c:v>
                </c:pt>
                <c:pt idx="84">
                  <c:v>Januar 2032</c:v>
                </c:pt>
                <c:pt idx="85">
                  <c:v>Februar 2032</c:v>
                </c:pt>
                <c:pt idx="86">
                  <c:v>Mars 2032</c:v>
                </c:pt>
                <c:pt idx="87">
                  <c:v>April 2032</c:v>
                </c:pt>
                <c:pt idx="88">
                  <c:v>Mai 2032</c:v>
                </c:pt>
                <c:pt idx="89">
                  <c:v>Juni 2032</c:v>
                </c:pt>
                <c:pt idx="90">
                  <c:v>Juli 2032</c:v>
                </c:pt>
                <c:pt idx="91">
                  <c:v>August 2032</c:v>
                </c:pt>
                <c:pt idx="92">
                  <c:v>September 2032</c:v>
                </c:pt>
                <c:pt idx="93">
                  <c:v>Oktober 2032</c:v>
                </c:pt>
                <c:pt idx="94">
                  <c:v>November 2032</c:v>
                </c:pt>
                <c:pt idx="95">
                  <c:v>Desember 2032</c:v>
                </c:pt>
                <c:pt idx="96">
                  <c:v>Januar 2033</c:v>
                </c:pt>
                <c:pt idx="97">
                  <c:v>Februar 2033</c:v>
                </c:pt>
                <c:pt idx="98">
                  <c:v>Mars 2033</c:v>
                </c:pt>
                <c:pt idx="99">
                  <c:v>April 2033</c:v>
                </c:pt>
                <c:pt idx="100">
                  <c:v>Mai 2033</c:v>
                </c:pt>
                <c:pt idx="101">
                  <c:v>Juni 2033</c:v>
                </c:pt>
                <c:pt idx="102">
                  <c:v>Juli 2033</c:v>
                </c:pt>
                <c:pt idx="103">
                  <c:v>August 2033</c:v>
                </c:pt>
                <c:pt idx="104">
                  <c:v>September 2033</c:v>
                </c:pt>
                <c:pt idx="105">
                  <c:v>Oktober 2033</c:v>
                </c:pt>
                <c:pt idx="106">
                  <c:v>November 2033</c:v>
                </c:pt>
                <c:pt idx="107">
                  <c:v>Desember 2033</c:v>
                </c:pt>
                <c:pt idx="108">
                  <c:v>Januar 2034</c:v>
                </c:pt>
                <c:pt idx="109">
                  <c:v>Februar 2034</c:v>
                </c:pt>
                <c:pt idx="110">
                  <c:v>Mars 2034</c:v>
                </c:pt>
                <c:pt idx="111">
                  <c:v>April 2034</c:v>
                </c:pt>
                <c:pt idx="112">
                  <c:v>Mai 2034</c:v>
                </c:pt>
                <c:pt idx="113">
                  <c:v>Juni 2034</c:v>
                </c:pt>
                <c:pt idx="114">
                  <c:v>Juli 2034</c:v>
                </c:pt>
                <c:pt idx="115">
                  <c:v>August 2034</c:v>
                </c:pt>
                <c:pt idx="116">
                  <c:v>September 2034</c:v>
                </c:pt>
                <c:pt idx="117">
                  <c:v>Oktober 2034</c:v>
                </c:pt>
                <c:pt idx="118">
                  <c:v>November 2034</c:v>
                </c:pt>
                <c:pt idx="119">
                  <c:v>Desember 2034</c:v>
                </c:pt>
                <c:pt idx="120">
                  <c:v>Januar 2035</c:v>
                </c:pt>
                <c:pt idx="121">
                  <c:v>Februar 2035</c:v>
                </c:pt>
                <c:pt idx="122">
                  <c:v>Mars 2035</c:v>
                </c:pt>
                <c:pt idx="123">
                  <c:v>April 2035</c:v>
                </c:pt>
                <c:pt idx="124">
                  <c:v>Mai 2035</c:v>
                </c:pt>
                <c:pt idx="125">
                  <c:v>Juni 2035</c:v>
                </c:pt>
                <c:pt idx="126">
                  <c:v>Juli 2035</c:v>
                </c:pt>
                <c:pt idx="127">
                  <c:v>August 2035</c:v>
                </c:pt>
                <c:pt idx="128">
                  <c:v>September 2035</c:v>
                </c:pt>
                <c:pt idx="129">
                  <c:v>Oktober 2035</c:v>
                </c:pt>
                <c:pt idx="130">
                  <c:v>November 2035</c:v>
                </c:pt>
                <c:pt idx="131">
                  <c:v>Desember 2035</c:v>
                </c:pt>
                <c:pt idx="132">
                  <c:v>Januar 2036</c:v>
                </c:pt>
                <c:pt idx="133">
                  <c:v>Februar 2036</c:v>
                </c:pt>
                <c:pt idx="134">
                  <c:v>Mars 2036</c:v>
                </c:pt>
                <c:pt idx="135">
                  <c:v>April 2036</c:v>
                </c:pt>
                <c:pt idx="136">
                  <c:v>Mai 2036</c:v>
                </c:pt>
                <c:pt idx="137">
                  <c:v>Juni 2036</c:v>
                </c:pt>
                <c:pt idx="138">
                  <c:v>Juli 2036</c:v>
                </c:pt>
                <c:pt idx="139">
                  <c:v>August 2036</c:v>
                </c:pt>
                <c:pt idx="140">
                  <c:v>September 2036</c:v>
                </c:pt>
                <c:pt idx="141">
                  <c:v>Oktober 2036</c:v>
                </c:pt>
                <c:pt idx="142">
                  <c:v>November 2036</c:v>
                </c:pt>
                <c:pt idx="143">
                  <c:v>Desember 2036</c:v>
                </c:pt>
                <c:pt idx="144">
                  <c:v>Januar 2037</c:v>
                </c:pt>
                <c:pt idx="145">
                  <c:v>Februar 2037</c:v>
                </c:pt>
                <c:pt idx="146">
                  <c:v>Mars 2037</c:v>
                </c:pt>
                <c:pt idx="147">
                  <c:v>April 2037</c:v>
                </c:pt>
                <c:pt idx="148">
                  <c:v>Mai 2037</c:v>
                </c:pt>
                <c:pt idx="149">
                  <c:v>Juni 2037</c:v>
                </c:pt>
                <c:pt idx="150">
                  <c:v>Juli 2037</c:v>
                </c:pt>
                <c:pt idx="151">
                  <c:v>August 2037</c:v>
                </c:pt>
                <c:pt idx="152">
                  <c:v>September 2037</c:v>
                </c:pt>
                <c:pt idx="153">
                  <c:v>Oktober 2037</c:v>
                </c:pt>
                <c:pt idx="154">
                  <c:v>November 2037</c:v>
                </c:pt>
                <c:pt idx="155">
                  <c:v>Desember 2037</c:v>
                </c:pt>
                <c:pt idx="156">
                  <c:v>Januar 2038</c:v>
                </c:pt>
                <c:pt idx="157">
                  <c:v>Februar 2038</c:v>
                </c:pt>
                <c:pt idx="158">
                  <c:v>Mars 2038</c:v>
                </c:pt>
                <c:pt idx="159">
                  <c:v>April 2038</c:v>
                </c:pt>
                <c:pt idx="160">
                  <c:v>Mai 2038</c:v>
                </c:pt>
                <c:pt idx="161">
                  <c:v>Juni 2038</c:v>
                </c:pt>
                <c:pt idx="162">
                  <c:v>Juli 2038</c:v>
                </c:pt>
                <c:pt idx="163">
                  <c:v>August 2038</c:v>
                </c:pt>
                <c:pt idx="164">
                  <c:v>September 2038</c:v>
                </c:pt>
                <c:pt idx="165">
                  <c:v>Oktober 2038</c:v>
                </c:pt>
                <c:pt idx="166">
                  <c:v>November 2038</c:v>
                </c:pt>
                <c:pt idx="167">
                  <c:v>Desember 2038</c:v>
                </c:pt>
                <c:pt idx="168">
                  <c:v>Januar 2039</c:v>
                </c:pt>
                <c:pt idx="169">
                  <c:v>Februar 2039</c:v>
                </c:pt>
                <c:pt idx="170">
                  <c:v>Mars 2039</c:v>
                </c:pt>
                <c:pt idx="171">
                  <c:v>April 2039</c:v>
                </c:pt>
                <c:pt idx="172">
                  <c:v>Mai 2039</c:v>
                </c:pt>
                <c:pt idx="173">
                  <c:v>Juni 2039</c:v>
                </c:pt>
                <c:pt idx="174">
                  <c:v>Juli 2039</c:v>
                </c:pt>
                <c:pt idx="175">
                  <c:v>August 2039</c:v>
                </c:pt>
                <c:pt idx="176">
                  <c:v>September 2039</c:v>
                </c:pt>
                <c:pt idx="177">
                  <c:v>Oktober 2039</c:v>
                </c:pt>
                <c:pt idx="178">
                  <c:v>November 2039</c:v>
                </c:pt>
                <c:pt idx="179">
                  <c:v>Desember 2039</c:v>
                </c:pt>
                <c:pt idx="180">
                  <c:v>Januar 2040</c:v>
                </c:pt>
                <c:pt idx="181">
                  <c:v>Februar 2040</c:v>
                </c:pt>
                <c:pt idx="182">
                  <c:v>Mars 2040</c:v>
                </c:pt>
                <c:pt idx="183">
                  <c:v>April 2040</c:v>
                </c:pt>
                <c:pt idx="184">
                  <c:v>Mai 2040</c:v>
                </c:pt>
                <c:pt idx="185">
                  <c:v>Juni 2040</c:v>
                </c:pt>
                <c:pt idx="186">
                  <c:v>Juli 2040</c:v>
                </c:pt>
                <c:pt idx="187">
                  <c:v>August 2040</c:v>
                </c:pt>
                <c:pt idx="188">
                  <c:v>September 2040</c:v>
                </c:pt>
                <c:pt idx="189">
                  <c:v>Oktober 2040</c:v>
                </c:pt>
                <c:pt idx="190">
                  <c:v>November 2040</c:v>
                </c:pt>
                <c:pt idx="191">
                  <c:v>Desember 2040</c:v>
                </c:pt>
                <c:pt idx="192">
                  <c:v>Januar 2041</c:v>
                </c:pt>
                <c:pt idx="193">
                  <c:v>Februar 2041</c:v>
                </c:pt>
                <c:pt idx="194">
                  <c:v>Mars 2041</c:v>
                </c:pt>
                <c:pt idx="195">
                  <c:v>April 2041</c:v>
                </c:pt>
                <c:pt idx="196">
                  <c:v>Mai 2041</c:v>
                </c:pt>
                <c:pt idx="197">
                  <c:v>Juni 2041</c:v>
                </c:pt>
                <c:pt idx="198">
                  <c:v>Juli 2041</c:v>
                </c:pt>
                <c:pt idx="199">
                  <c:v>August 2041</c:v>
                </c:pt>
                <c:pt idx="200">
                  <c:v>September 2041</c:v>
                </c:pt>
                <c:pt idx="201">
                  <c:v>Oktober 2041</c:v>
                </c:pt>
                <c:pt idx="202">
                  <c:v>November 2041</c:v>
                </c:pt>
                <c:pt idx="203">
                  <c:v>Desember 2041</c:v>
                </c:pt>
                <c:pt idx="204">
                  <c:v>Januar 2042</c:v>
                </c:pt>
                <c:pt idx="205">
                  <c:v>Februar 2042</c:v>
                </c:pt>
                <c:pt idx="206">
                  <c:v>Mars 2042</c:v>
                </c:pt>
                <c:pt idx="207">
                  <c:v>April 2042</c:v>
                </c:pt>
                <c:pt idx="208">
                  <c:v>Mai 2042</c:v>
                </c:pt>
                <c:pt idx="209">
                  <c:v>Juni 2042</c:v>
                </c:pt>
                <c:pt idx="210">
                  <c:v>Juli 2042</c:v>
                </c:pt>
                <c:pt idx="211">
                  <c:v>August 2042</c:v>
                </c:pt>
                <c:pt idx="212">
                  <c:v>September 2042</c:v>
                </c:pt>
                <c:pt idx="213">
                  <c:v>Oktober 2042</c:v>
                </c:pt>
                <c:pt idx="214">
                  <c:v>November 2042</c:v>
                </c:pt>
                <c:pt idx="215">
                  <c:v>Desember 2042</c:v>
                </c:pt>
                <c:pt idx="216">
                  <c:v>Januar 2043</c:v>
                </c:pt>
                <c:pt idx="217">
                  <c:v>Februar 2043</c:v>
                </c:pt>
                <c:pt idx="218">
                  <c:v>Mars 2043</c:v>
                </c:pt>
                <c:pt idx="219">
                  <c:v>April 2043</c:v>
                </c:pt>
                <c:pt idx="220">
                  <c:v>Mai 2043</c:v>
                </c:pt>
                <c:pt idx="221">
                  <c:v>Juni 2043</c:v>
                </c:pt>
                <c:pt idx="222">
                  <c:v>Juli 2043</c:v>
                </c:pt>
                <c:pt idx="223">
                  <c:v>August 2043</c:v>
                </c:pt>
                <c:pt idx="224">
                  <c:v>September 2043</c:v>
                </c:pt>
                <c:pt idx="225">
                  <c:v>Oktober 2043</c:v>
                </c:pt>
                <c:pt idx="226">
                  <c:v>November 2043</c:v>
                </c:pt>
                <c:pt idx="227">
                  <c:v>Desember 2043</c:v>
                </c:pt>
                <c:pt idx="228">
                  <c:v>Januar 2044</c:v>
                </c:pt>
                <c:pt idx="229">
                  <c:v>Februar 2044</c:v>
                </c:pt>
                <c:pt idx="230">
                  <c:v>Mars 2044</c:v>
                </c:pt>
                <c:pt idx="231">
                  <c:v>April 2044</c:v>
                </c:pt>
                <c:pt idx="232">
                  <c:v>Mai 2044</c:v>
                </c:pt>
                <c:pt idx="233">
                  <c:v>Juni 2044</c:v>
                </c:pt>
                <c:pt idx="234">
                  <c:v>Juli 2044</c:v>
                </c:pt>
                <c:pt idx="235">
                  <c:v>August 2044</c:v>
                </c:pt>
                <c:pt idx="236">
                  <c:v>September 2044</c:v>
                </c:pt>
                <c:pt idx="237">
                  <c:v>Oktober 2044</c:v>
                </c:pt>
                <c:pt idx="238">
                  <c:v>November 2044</c:v>
                </c:pt>
                <c:pt idx="239">
                  <c:v>Desember 2044</c:v>
                </c:pt>
                <c:pt idx="240">
                  <c:v>Januar 2045</c:v>
                </c:pt>
                <c:pt idx="241">
                  <c:v>Februar 2045</c:v>
                </c:pt>
                <c:pt idx="242">
                  <c:v>Mars 2045</c:v>
                </c:pt>
                <c:pt idx="243">
                  <c:v>April 2045</c:v>
                </c:pt>
                <c:pt idx="244">
                  <c:v>Mai 2045</c:v>
                </c:pt>
                <c:pt idx="245">
                  <c:v>Juni 2045</c:v>
                </c:pt>
                <c:pt idx="246">
                  <c:v>Juli 2045</c:v>
                </c:pt>
                <c:pt idx="247">
                  <c:v>August 2045</c:v>
                </c:pt>
                <c:pt idx="248">
                  <c:v>September 2045</c:v>
                </c:pt>
                <c:pt idx="249">
                  <c:v>Oktober 2045</c:v>
                </c:pt>
                <c:pt idx="250">
                  <c:v>November 2045</c:v>
                </c:pt>
                <c:pt idx="251">
                  <c:v>Desember 2045</c:v>
                </c:pt>
                <c:pt idx="252">
                  <c:v>Januar 2046</c:v>
                </c:pt>
                <c:pt idx="253">
                  <c:v>Februar 2046</c:v>
                </c:pt>
                <c:pt idx="254">
                  <c:v>Mars 2046</c:v>
                </c:pt>
                <c:pt idx="255">
                  <c:v>April 2046</c:v>
                </c:pt>
                <c:pt idx="256">
                  <c:v>Mai 2046</c:v>
                </c:pt>
                <c:pt idx="257">
                  <c:v>Juni 2046</c:v>
                </c:pt>
                <c:pt idx="258">
                  <c:v>Juli 2046</c:v>
                </c:pt>
                <c:pt idx="259">
                  <c:v>August 2046</c:v>
                </c:pt>
                <c:pt idx="260">
                  <c:v>September 2046</c:v>
                </c:pt>
                <c:pt idx="261">
                  <c:v>Oktober 2046</c:v>
                </c:pt>
                <c:pt idx="262">
                  <c:v>November 2046</c:v>
                </c:pt>
                <c:pt idx="263">
                  <c:v>Desember 2046</c:v>
                </c:pt>
                <c:pt idx="264">
                  <c:v>Januar 2047</c:v>
                </c:pt>
                <c:pt idx="265">
                  <c:v>Februar 2047</c:v>
                </c:pt>
                <c:pt idx="266">
                  <c:v>Mars 2047</c:v>
                </c:pt>
                <c:pt idx="267">
                  <c:v>April 2047</c:v>
                </c:pt>
                <c:pt idx="268">
                  <c:v>Mai 2047</c:v>
                </c:pt>
                <c:pt idx="269">
                  <c:v>Juni 2047</c:v>
                </c:pt>
                <c:pt idx="270">
                  <c:v>Juli 2047</c:v>
                </c:pt>
                <c:pt idx="271">
                  <c:v>August 2047</c:v>
                </c:pt>
                <c:pt idx="272">
                  <c:v>September 2047</c:v>
                </c:pt>
                <c:pt idx="273">
                  <c:v>Oktober 2047</c:v>
                </c:pt>
                <c:pt idx="274">
                  <c:v>November 2047</c:v>
                </c:pt>
                <c:pt idx="275">
                  <c:v>Desember 2047</c:v>
                </c:pt>
                <c:pt idx="276">
                  <c:v>Januar 2048</c:v>
                </c:pt>
                <c:pt idx="277">
                  <c:v>Februar 2048</c:v>
                </c:pt>
                <c:pt idx="278">
                  <c:v>Mars 2048</c:v>
                </c:pt>
                <c:pt idx="279">
                  <c:v>April 2048</c:v>
                </c:pt>
                <c:pt idx="280">
                  <c:v>Mai 2048</c:v>
                </c:pt>
                <c:pt idx="281">
                  <c:v>Juni 2048</c:v>
                </c:pt>
                <c:pt idx="282">
                  <c:v>Juli 2048</c:v>
                </c:pt>
                <c:pt idx="283">
                  <c:v>August 2048</c:v>
                </c:pt>
                <c:pt idx="284">
                  <c:v>September 2048</c:v>
                </c:pt>
                <c:pt idx="285">
                  <c:v>Oktober 2048</c:v>
                </c:pt>
                <c:pt idx="286">
                  <c:v>November 2048</c:v>
                </c:pt>
                <c:pt idx="287">
                  <c:v>Desember 2048</c:v>
                </c:pt>
                <c:pt idx="288">
                  <c:v>Januar 2049</c:v>
                </c:pt>
                <c:pt idx="289">
                  <c:v>Februar 2049</c:v>
                </c:pt>
                <c:pt idx="290">
                  <c:v>Mars 2049</c:v>
                </c:pt>
                <c:pt idx="291">
                  <c:v>April 2049</c:v>
                </c:pt>
                <c:pt idx="292">
                  <c:v>Mai 2049</c:v>
                </c:pt>
                <c:pt idx="293">
                  <c:v>Juni 2049</c:v>
                </c:pt>
                <c:pt idx="294">
                  <c:v>Juli 2049</c:v>
                </c:pt>
                <c:pt idx="295">
                  <c:v>August 2049</c:v>
                </c:pt>
                <c:pt idx="296">
                  <c:v>September 2049</c:v>
                </c:pt>
                <c:pt idx="297">
                  <c:v>Oktober 2049</c:v>
                </c:pt>
                <c:pt idx="298">
                  <c:v>November 2049</c:v>
                </c:pt>
                <c:pt idx="299">
                  <c:v>Desember 2049</c:v>
                </c:pt>
                <c:pt idx="300">
                  <c:v>Januar 2050</c:v>
                </c:pt>
                <c:pt idx="301">
                  <c:v>Februar 2050</c:v>
                </c:pt>
                <c:pt idx="302">
                  <c:v>Mars 2050</c:v>
                </c:pt>
                <c:pt idx="303">
                  <c:v>April 2050</c:v>
                </c:pt>
                <c:pt idx="304">
                  <c:v>Mai 2050</c:v>
                </c:pt>
                <c:pt idx="305">
                  <c:v>Juni 2050</c:v>
                </c:pt>
                <c:pt idx="306">
                  <c:v>Juli 2050</c:v>
                </c:pt>
                <c:pt idx="307">
                  <c:v>August 2050</c:v>
                </c:pt>
                <c:pt idx="308">
                  <c:v>September 2050</c:v>
                </c:pt>
                <c:pt idx="309">
                  <c:v>Oktober 2050</c:v>
                </c:pt>
                <c:pt idx="310">
                  <c:v>November 2050</c:v>
                </c:pt>
                <c:pt idx="311">
                  <c:v>Desember 2050</c:v>
                </c:pt>
                <c:pt idx="312">
                  <c:v>Januar 2051</c:v>
                </c:pt>
                <c:pt idx="313">
                  <c:v>Februar 2051</c:v>
                </c:pt>
                <c:pt idx="314">
                  <c:v>Mars 2051</c:v>
                </c:pt>
                <c:pt idx="315">
                  <c:v>April 2051</c:v>
                </c:pt>
                <c:pt idx="316">
                  <c:v>Mai 2051</c:v>
                </c:pt>
                <c:pt idx="317">
                  <c:v>Juni 2051</c:v>
                </c:pt>
                <c:pt idx="318">
                  <c:v>Juli 2051</c:v>
                </c:pt>
                <c:pt idx="319">
                  <c:v>August 2051</c:v>
                </c:pt>
                <c:pt idx="320">
                  <c:v>September 2051</c:v>
                </c:pt>
                <c:pt idx="321">
                  <c:v>Oktober 2051</c:v>
                </c:pt>
                <c:pt idx="322">
                  <c:v>November 2051</c:v>
                </c:pt>
                <c:pt idx="323">
                  <c:v>Desember 2051</c:v>
                </c:pt>
                <c:pt idx="324">
                  <c:v>Januar 2052</c:v>
                </c:pt>
                <c:pt idx="325">
                  <c:v>Februar 2052</c:v>
                </c:pt>
                <c:pt idx="326">
                  <c:v>Mars 2052</c:v>
                </c:pt>
                <c:pt idx="327">
                  <c:v>April 2052</c:v>
                </c:pt>
                <c:pt idx="328">
                  <c:v>Mai 2052</c:v>
                </c:pt>
                <c:pt idx="329">
                  <c:v>Juni 2052</c:v>
                </c:pt>
                <c:pt idx="330">
                  <c:v>Juli 2052</c:v>
                </c:pt>
                <c:pt idx="331">
                  <c:v>August 2052</c:v>
                </c:pt>
                <c:pt idx="332">
                  <c:v>September 2052</c:v>
                </c:pt>
                <c:pt idx="333">
                  <c:v>Oktober 2052</c:v>
                </c:pt>
                <c:pt idx="334">
                  <c:v>November 2052</c:v>
                </c:pt>
                <c:pt idx="335">
                  <c:v>Desember 2052</c:v>
                </c:pt>
                <c:pt idx="336">
                  <c:v>Januar 2053</c:v>
                </c:pt>
                <c:pt idx="337">
                  <c:v>Februar 2053</c:v>
                </c:pt>
                <c:pt idx="338">
                  <c:v>Mars 2053</c:v>
                </c:pt>
                <c:pt idx="339">
                  <c:v>April 2053</c:v>
                </c:pt>
                <c:pt idx="340">
                  <c:v>Mai 2053</c:v>
                </c:pt>
                <c:pt idx="341">
                  <c:v>Juni 2053</c:v>
                </c:pt>
                <c:pt idx="342">
                  <c:v>Juli 2053</c:v>
                </c:pt>
                <c:pt idx="343">
                  <c:v>August 2053</c:v>
                </c:pt>
                <c:pt idx="344">
                  <c:v>September 2053</c:v>
                </c:pt>
                <c:pt idx="345">
                  <c:v>Oktober 2053</c:v>
                </c:pt>
                <c:pt idx="346">
                  <c:v>November 2053</c:v>
                </c:pt>
                <c:pt idx="347">
                  <c:v>Desember 2053</c:v>
                </c:pt>
                <c:pt idx="348">
                  <c:v>Januar 2054</c:v>
                </c:pt>
                <c:pt idx="349">
                  <c:v>Februar 2054</c:v>
                </c:pt>
                <c:pt idx="350">
                  <c:v>Mars 2054</c:v>
                </c:pt>
                <c:pt idx="351">
                  <c:v>April 2054</c:v>
                </c:pt>
                <c:pt idx="352">
                  <c:v>Mai 2054</c:v>
                </c:pt>
                <c:pt idx="353">
                  <c:v>Juni 2054</c:v>
                </c:pt>
                <c:pt idx="354">
                  <c:v>Juli 2054</c:v>
                </c:pt>
                <c:pt idx="355">
                  <c:v>August 2054</c:v>
                </c:pt>
                <c:pt idx="356">
                  <c:v>September 2054</c:v>
                </c:pt>
                <c:pt idx="357">
                  <c:v>Oktober 2054</c:v>
                </c:pt>
                <c:pt idx="358">
                  <c:v>November 2054</c:v>
                </c:pt>
                <c:pt idx="359">
                  <c:v>Desember 2054</c:v>
                </c:pt>
              </c:strCache>
            </c:strRef>
          </c:cat>
          <c:val>
            <c:numRef>
              <c:f>'Dynamisk plan'!$O$18:$O$377</c:f>
              <c:numCache>
                <c:formatCode>[$kr-414]\ #,##0;\-[$kr-414]\ #,##0</c:formatCode>
                <c:ptCount val="36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DD1-4601-9DE1-1786BE08E5B3}"/>
            </c:ext>
          </c:extLst>
        </c:ser>
        <c:ser>
          <c:idx val="1"/>
          <c:order val="1"/>
          <c:tx>
            <c:strRef>
              <c:f>'Dynamisk plan'!$L$16</c:f>
              <c:strCache>
                <c:ptCount val="1"/>
                <c:pt idx="0">
                  <c:v>Saldo</c:v>
                </c:pt>
              </c:strCache>
            </c:strRef>
          </c:tx>
          <c:spPr>
            <a:solidFill>
              <a:srgbClr val="E6FF00"/>
            </a:solidFill>
            <a:ln>
              <a:solidFill>
                <a:srgbClr val="000000"/>
              </a:solidFill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'Dynamisk plan'!$A$18:$A$377</c:f>
              <c:strCache>
                <c:ptCount val="360"/>
                <c:pt idx="0">
                  <c:v>Januar 2025</c:v>
                </c:pt>
                <c:pt idx="1">
                  <c:v>Februar 2025</c:v>
                </c:pt>
                <c:pt idx="2">
                  <c:v>Mars 2025</c:v>
                </c:pt>
                <c:pt idx="3">
                  <c:v>April 2025</c:v>
                </c:pt>
                <c:pt idx="4">
                  <c:v>Mai 2025</c:v>
                </c:pt>
                <c:pt idx="5">
                  <c:v>Juni 2025</c:v>
                </c:pt>
                <c:pt idx="6">
                  <c:v>Juli 2025</c:v>
                </c:pt>
                <c:pt idx="7">
                  <c:v>August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Desember 2025</c:v>
                </c:pt>
                <c:pt idx="12">
                  <c:v>Januar 2026</c:v>
                </c:pt>
                <c:pt idx="13">
                  <c:v>Februar 2026</c:v>
                </c:pt>
                <c:pt idx="14">
                  <c:v>Mars 2026</c:v>
                </c:pt>
                <c:pt idx="15">
                  <c:v>April 2026</c:v>
                </c:pt>
                <c:pt idx="16">
                  <c:v>Mai 2026</c:v>
                </c:pt>
                <c:pt idx="17">
                  <c:v>Juni 2026</c:v>
                </c:pt>
                <c:pt idx="18">
                  <c:v>Juli 2026</c:v>
                </c:pt>
                <c:pt idx="19">
                  <c:v>August 2026</c:v>
                </c:pt>
                <c:pt idx="20">
                  <c:v>September 2026</c:v>
                </c:pt>
                <c:pt idx="21">
                  <c:v>Oktober 2026</c:v>
                </c:pt>
                <c:pt idx="22">
                  <c:v>November 2026</c:v>
                </c:pt>
                <c:pt idx="23">
                  <c:v>Desember 2026</c:v>
                </c:pt>
                <c:pt idx="24">
                  <c:v>Januar 2027</c:v>
                </c:pt>
                <c:pt idx="25">
                  <c:v>Februar 2027</c:v>
                </c:pt>
                <c:pt idx="26">
                  <c:v>Mars 2027</c:v>
                </c:pt>
                <c:pt idx="27">
                  <c:v>April 2027</c:v>
                </c:pt>
                <c:pt idx="28">
                  <c:v>Mai 2027</c:v>
                </c:pt>
                <c:pt idx="29">
                  <c:v>Juni 2027</c:v>
                </c:pt>
                <c:pt idx="30">
                  <c:v>Juli 2027</c:v>
                </c:pt>
                <c:pt idx="31">
                  <c:v>August 2027</c:v>
                </c:pt>
                <c:pt idx="32">
                  <c:v>September 2027</c:v>
                </c:pt>
                <c:pt idx="33">
                  <c:v>Oktober 2027</c:v>
                </c:pt>
                <c:pt idx="34">
                  <c:v>November 2027</c:v>
                </c:pt>
                <c:pt idx="35">
                  <c:v>Desember 2027</c:v>
                </c:pt>
                <c:pt idx="36">
                  <c:v>Januar 2028</c:v>
                </c:pt>
                <c:pt idx="37">
                  <c:v>Februar 2028</c:v>
                </c:pt>
                <c:pt idx="38">
                  <c:v>Mars 2028</c:v>
                </c:pt>
                <c:pt idx="39">
                  <c:v>April 2028</c:v>
                </c:pt>
                <c:pt idx="40">
                  <c:v>Mai 2028</c:v>
                </c:pt>
                <c:pt idx="41">
                  <c:v>Juni 2028</c:v>
                </c:pt>
                <c:pt idx="42">
                  <c:v>Juli 2028</c:v>
                </c:pt>
                <c:pt idx="43">
                  <c:v>August 2028</c:v>
                </c:pt>
                <c:pt idx="44">
                  <c:v>September 2028</c:v>
                </c:pt>
                <c:pt idx="45">
                  <c:v>Oktober 2028</c:v>
                </c:pt>
                <c:pt idx="46">
                  <c:v>November 2028</c:v>
                </c:pt>
                <c:pt idx="47">
                  <c:v>Desember 2028</c:v>
                </c:pt>
                <c:pt idx="48">
                  <c:v>Januar 2029</c:v>
                </c:pt>
                <c:pt idx="49">
                  <c:v>Februar 2029</c:v>
                </c:pt>
                <c:pt idx="50">
                  <c:v>Mars 2029</c:v>
                </c:pt>
                <c:pt idx="51">
                  <c:v>April 2029</c:v>
                </c:pt>
                <c:pt idx="52">
                  <c:v>Mai 2029</c:v>
                </c:pt>
                <c:pt idx="53">
                  <c:v>Juni 2029</c:v>
                </c:pt>
                <c:pt idx="54">
                  <c:v>Juli 2029</c:v>
                </c:pt>
                <c:pt idx="55">
                  <c:v>August 2029</c:v>
                </c:pt>
                <c:pt idx="56">
                  <c:v>September 2029</c:v>
                </c:pt>
                <c:pt idx="57">
                  <c:v>Oktober 2029</c:v>
                </c:pt>
                <c:pt idx="58">
                  <c:v>November 2029</c:v>
                </c:pt>
                <c:pt idx="59">
                  <c:v>Desember 2029</c:v>
                </c:pt>
                <c:pt idx="60">
                  <c:v>Januar 2030</c:v>
                </c:pt>
                <c:pt idx="61">
                  <c:v>Februar 2030</c:v>
                </c:pt>
                <c:pt idx="62">
                  <c:v>Mars 2030</c:v>
                </c:pt>
                <c:pt idx="63">
                  <c:v>April 2030</c:v>
                </c:pt>
                <c:pt idx="64">
                  <c:v>Mai 2030</c:v>
                </c:pt>
                <c:pt idx="65">
                  <c:v>Juni 2030</c:v>
                </c:pt>
                <c:pt idx="66">
                  <c:v>Juli 2030</c:v>
                </c:pt>
                <c:pt idx="67">
                  <c:v>August 2030</c:v>
                </c:pt>
                <c:pt idx="68">
                  <c:v>September 2030</c:v>
                </c:pt>
                <c:pt idx="69">
                  <c:v>Oktober 2030</c:v>
                </c:pt>
                <c:pt idx="70">
                  <c:v>November 2030</c:v>
                </c:pt>
                <c:pt idx="71">
                  <c:v>Desember 2030</c:v>
                </c:pt>
                <c:pt idx="72">
                  <c:v>Januar 2031</c:v>
                </c:pt>
                <c:pt idx="73">
                  <c:v>Februar 2031</c:v>
                </c:pt>
                <c:pt idx="74">
                  <c:v>Mars 2031</c:v>
                </c:pt>
                <c:pt idx="75">
                  <c:v>April 2031</c:v>
                </c:pt>
                <c:pt idx="76">
                  <c:v>Mai 2031</c:v>
                </c:pt>
                <c:pt idx="77">
                  <c:v>Juni 2031</c:v>
                </c:pt>
                <c:pt idx="78">
                  <c:v>Juli 2031</c:v>
                </c:pt>
                <c:pt idx="79">
                  <c:v>August 2031</c:v>
                </c:pt>
                <c:pt idx="80">
                  <c:v>September 2031</c:v>
                </c:pt>
                <c:pt idx="81">
                  <c:v>Oktober 2031</c:v>
                </c:pt>
                <c:pt idx="82">
                  <c:v>November 2031</c:v>
                </c:pt>
                <c:pt idx="83">
                  <c:v>Desember 2031</c:v>
                </c:pt>
                <c:pt idx="84">
                  <c:v>Januar 2032</c:v>
                </c:pt>
                <c:pt idx="85">
                  <c:v>Februar 2032</c:v>
                </c:pt>
                <c:pt idx="86">
                  <c:v>Mars 2032</c:v>
                </c:pt>
                <c:pt idx="87">
                  <c:v>April 2032</c:v>
                </c:pt>
                <c:pt idx="88">
                  <c:v>Mai 2032</c:v>
                </c:pt>
                <c:pt idx="89">
                  <c:v>Juni 2032</c:v>
                </c:pt>
                <c:pt idx="90">
                  <c:v>Juli 2032</c:v>
                </c:pt>
                <c:pt idx="91">
                  <c:v>August 2032</c:v>
                </c:pt>
                <c:pt idx="92">
                  <c:v>September 2032</c:v>
                </c:pt>
                <c:pt idx="93">
                  <c:v>Oktober 2032</c:v>
                </c:pt>
                <c:pt idx="94">
                  <c:v>November 2032</c:v>
                </c:pt>
                <c:pt idx="95">
                  <c:v>Desember 2032</c:v>
                </c:pt>
                <c:pt idx="96">
                  <c:v>Januar 2033</c:v>
                </c:pt>
                <c:pt idx="97">
                  <c:v>Februar 2033</c:v>
                </c:pt>
                <c:pt idx="98">
                  <c:v>Mars 2033</c:v>
                </c:pt>
                <c:pt idx="99">
                  <c:v>April 2033</c:v>
                </c:pt>
                <c:pt idx="100">
                  <c:v>Mai 2033</c:v>
                </c:pt>
                <c:pt idx="101">
                  <c:v>Juni 2033</c:v>
                </c:pt>
                <c:pt idx="102">
                  <c:v>Juli 2033</c:v>
                </c:pt>
                <c:pt idx="103">
                  <c:v>August 2033</c:v>
                </c:pt>
                <c:pt idx="104">
                  <c:v>September 2033</c:v>
                </c:pt>
                <c:pt idx="105">
                  <c:v>Oktober 2033</c:v>
                </c:pt>
                <c:pt idx="106">
                  <c:v>November 2033</c:v>
                </c:pt>
                <c:pt idx="107">
                  <c:v>Desember 2033</c:v>
                </c:pt>
                <c:pt idx="108">
                  <c:v>Januar 2034</c:v>
                </c:pt>
                <c:pt idx="109">
                  <c:v>Februar 2034</c:v>
                </c:pt>
                <c:pt idx="110">
                  <c:v>Mars 2034</c:v>
                </c:pt>
                <c:pt idx="111">
                  <c:v>April 2034</c:v>
                </c:pt>
                <c:pt idx="112">
                  <c:v>Mai 2034</c:v>
                </c:pt>
                <c:pt idx="113">
                  <c:v>Juni 2034</c:v>
                </c:pt>
                <c:pt idx="114">
                  <c:v>Juli 2034</c:v>
                </c:pt>
                <c:pt idx="115">
                  <c:v>August 2034</c:v>
                </c:pt>
                <c:pt idx="116">
                  <c:v>September 2034</c:v>
                </c:pt>
                <c:pt idx="117">
                  <c:v>Oktober 2034</c:v>
                </c:pt>
                <c:pt idx="118">
                  <c:v>November 2034</c:v>
                </c:pt>
                <c:pt idx="119">
                  <c:v>Desember 2034</c:v>
                </c:pt>
                <c:pt idx="120">
                  <c:v>Januar 2035</c:v>
                </c:pt>
                <c:pt idx="121">
                  <c:v>Februar 2035</c:v>
                </c:pt>
                <c:pt idx="122">
                  <c:v>Mars 2035</c:v>
                </c:pt>
                <c:pt idx="123">
                  <c:v>April 2035</c:v>
                </c:pt>
                <c:pt idx="124">
                  <c:v>Mai 2035</c:v>
                </c:pt>
                <c:pt idx="125">
                  <c:v>Juni 2035</c:v>
                </c:pt>
                <c:pt idx="126">
                  <c:v>Juli 2035</c:v>
                </c:pt>
                <c:pt idx="127">
                  <c:v>August 2035</c:v>
                </c:pt>
                <c:pt idx="128">
                  <c:v>September 2035</c:v>
                </c:pt>
                <c:pt idx="129">
                  <c:v>Oktober 2035</c:v>
                </c:pt>
                <c:pt idx="130">
                  <c:v>November 2035</c:v>
                </c:pt>
                <c:pt idx="131">
                  <c:v>Desember 2035</c:v>
                </c:pt>
                <c:pt idx="132">
                  <c:v>Januar 2036</c:v>
                </c:pt>
                <c:pt idx="133">
                  <c:v>Februar 2036</c:v>
                </c:pt>
                <c:pt idx="134">
                  <c:v>Mars 2036</c:v>
                </c:pt>
                <c:pt idx="135">
                  <c:v>April 2036</c:v>
                </c:pt>
                <c:pt idx="136">
                  <c:v>Mai 2036</c:v>
                </c:pt>
                <c:pt idx="137">
                  <c:v>Juni 2036</c:v>
                </c:pt>
                <c:pt idx="138">
                  <c:v>Juli 2036</c:v>
                </c:pt>
                <c:pt idx="139">
                  <c:v>August 2036</c:v>
                </c:pt>
                <c:pt idx="140">
                  <c:v>September 2036</c:v>
                </c:pt>
                <c:pt idx="141">
                  <c:v>Oktober 2036</c:v>
                </c:pt>
                <c:pt idx="142">
                  <c:v>November 2036</c:v>
                </c:pt>
                <c:pt idx="143">
                  <c:v>Desember 2036</c:v>
                </c:pt>
                <c:pt idx="144">
                  <c:v>Januar 2037</c:v>
                </c:pt>
                <c:pt idx="145">
                  <c:v>Februar 2037</c:v>
                </c:pt>
                <c:pt idx="146">
                  <c:v>Mars 2037</c:v>
                </c:pt>
                <c:pt idx="147">
                  <c:v>April 2037</c:v>
                </c:pt>
                <c:pt idx="148">
                  <c:v>Mai 2037</c:v>
                </c:pt>
                <c:pt idx="149">
                  <c:v>Juni 2037</c:v>
                </c:pt>
                <c:pt idx="150">
                  <c:v>Juli 2037</c:v>
                </c:pt>
                <c:pt idx="151">
                  <c:v>August 2037</c:v>
                </c:pt>
                <c:pt idx="152">
                  <c:v>September 2037</c:v>
                </c:pt>
                <c:pt idx="153">
                  <c:v>Oktober 2037</c:v>
                </c:pt>
                <c:pt idx="154">
                  <c:v>November 2037</c:v>
                </c:pt>
                <c:pt idx="155">
                  <c:v>Desember 2037</c:v>
                </c:pt>
                <c:pt idx="156">
                  <c:v>Januar 2038</c:v>
                </c:pt>
                <c:pt idx="157">
                  <c:v>Februar 2038</c:v>
                </c:pt>
                <c:pt idx="158">
                  <c:v>Mars 2038</c:v>
                </c:pt>
                <c:pt idx="159">
                  <c:v>April 2038</c:v>
                </c:pt>
                <c:pt idx="160">
                  <c:v>Mai 2038</c:v>
                </c:pt>
                <c:pt idx="161">
                  <c:v>Juni 2038</c:v>
                </c:pt>
                <c:pt idx="162">
                  <c:v>Juli 2038</c:v>
                </c:pt>
                <c:pt idx="163">
                  <c:v>August 2038</c:v>
                </c:pt>
                <c:pt idx="164">
                  <c:v>September 2038</c:v>
                </c:pt>
                <c:pt idx="165">
                  <c:v>Oktober 2038</c:v>
                </c:pt>
                <c:pt idx="166">
                  <c:v>November 2038</c:v>
                </c:pt>
                <c:pt idx="167">
                  <c:v>Desember 2038</c:v>
                </c:pt>
                <c:pt idx="168">
                  <c:v>Januar 2039</c:v>
                </c:pt>
                <c:pt idx="169">
                  <c:v>Februar 2039</c:v>
                </c:pt>
                <c:pt idx="170">
                  <c:v>Mars 2039</c:v>
                </c:pt>
                <c:pt idx="171">
                  <c:v>April 2039</c:v>
                </c:pt>
                <c:pt idx="172">
                  <c:v>Mai 2039</c:v>
                </c:pt>
                <c:pt idx="173">
                  <c:v>Juni 2039</c:v>
                </c:pt>
                <c:pt idx="174">
                  <c:v>Juli 2039</c:v>
                </c:pt>
                <c:pt idx="175">
                  <c:v>August 2039</c:v>
                </c:pt>
                <c:pt idx="176">
                  <c:v>September 2039</c:v>
                </c:pt>
                <c:pt idx="177">
                  <c:v>Oktober 2039</c:v>
                </c:pt>
                <c:pt idx="178">
                  <c:v>November 2039</c:v>
                </c:pt>
                <c:pt idx="179">
                  <c:v>Desember 2039</c:v>
                </c:pt>
                <c:pt idx="180">
                  <c:v>Januar 2040</c:v>
                </c:pt>
                <c:pt idx="181">
                  <c:v>Februar 2040</c:v>
                </c:pt>
                <c:pt idx="182">
                  <c:v>Mars 2040</c:v>
                </c:pt>
                <c:pt idx="183">
                  <c:v>April 2040</c:v>
                </c:pt>
                <c:pt idx="184">
                  <c:v>Mai 2040</c:v>
                </c:pt>
                <c:pt idx="185">
                  <c:v>Juni 2040</c:v>
                </c:pt>
                <c:pt idx="186">
                  <c:v>Juli 2040</c:v>
                </c:pt>
                <c:pt idx="187">
                  <c:v>August 2040</c:v>
                </c:pt>
                <c:pt idx="188">
                  <c:v>September 2040</c:v>
                </c:pt>
                <c:pt idx="189">
                  <c:v>Oktober 2040</c:v>
                </c:pt>
                <c:pt idx="190">
                  <c:v>November 2040</c:v>
                </c:pt>
                <c:pt idx="191">
                  <c:v>Desember 2040</c:v>
                </c:pt>
                <c:pt idx="192">
                  <c:v>Januar 2041</c:v>
                </c:pt>
                <c:pt idx="193">
                  <c:v>Februar 2041</c:v>
                </c:pt>
                <c:pt idx="194">
                  <c:v>Mars 2041</c:v>
                </c:pt>
                <c:pt idx="195">
                  <c:v>April 2041</c:v>
                </c:pt>
                <c:pt idx="196">
                  <c:v>Mai 2041</c:v>
                </c:pt>
                <c:pt idx="197">
                  <c:v>Juni 2041</c:v>
                </c:pt>
                <c:pt idx="198">
                  <c:v>Juli 2041</c:v>
                </c:pt>
                <c:pt idx="199">
                  <c:v>August 2041</c:v>
                </c:pt>
                <c:pt idx="200">
                  <c:v>September 2041</c:v>
                </c:pt>
                <c:pt idx="201">
                  <c:v>Oktober 2041</c:v>
                </c:pt>
                <c:pt idx="202">
                  <c:v>November 2041</c:v>
                </c:pt>
                <c:pt idx="203">
                  <c:v>Desember 2041</c:v>
                </c:pt>
                <c:pt idx="204">
                  <c:v>Januar 2042</c:v>
                </c:pt>
                <c:pt idx="205">
                  <c:v>Februar 2042</c:v>
                </c:pt>
                <c:pt idx="206">
                  <c:v>Mars 2042</c:v>
                </c:pt>
                <c:pt idx="207">
                  <c:v>April 2042</c:v>
                </c:pt>
                <c:pt idx="208">
                  <c:v>Mai 2042</c:v>
                </c:pt>
                <c:pt idx="209">
                  <c:v>Juni 2042</c:v>
                </c:pt>
                <c:pt idx="210">
                  <c:v>Juli 2042</c:v>
                </c:pt>
                <c:pt idx="211">
                  <c:v>August 2042</c:v>
                </c:pt>
                <c:pt idx="212">
                  <c:v>September 2042</c:v>
                </c:pt>
                <c:pt idx="213">
                  <c:v>Oktober 2042</c:v>
                </c:pt>
                <c:pt idx="214">
                  <c:v>November 2042</c:v>
                </c:pt>
                <c:pt idx="215">
                  <c:v>Desember 2042</c:v>
                </c:pt>
                <c:pt idx="216">
                  <c:v>Januar 2043</c:v>
                </c:pt>
                <c:pt idx="217">
                  <c:v>Februar 2043</c:v>
                </c:pt>
                <c:pt idx="218">
                  <c:v>Mars 2043</c:v>
                </c:pt>
                <c:pt idx="219">
                  <c:v>April 2043</c:v>
                </c:pt>
                <c:pt idx="220">
                  <c:v>Mai 2043</c:v>
                </c:pt>
                <c:pt idx="221">
                  <c:v>Juni 2043</c:v>
                </c:pt>
                <c:pt idx="222">
                  <c:v>Juli 2043</c:v>
                </c:pt>
                <c:pt idx="223">
                  <c:v>August 2043</c:v>
                </c:pt>
                <c:pt idx="224">
                  <c:v>September 2043</c:v>
                </c:pt>
                <c:pt idx="225">
                  <c:v>Oktober 2043</c:v>
                </c:pt>
                <c:pt idx="226">
                  <c:v>November 2043</c:v>
                </c:pt>
                <c:pt idx="227">
                  <c:v>Desember 2043</c:v>
                </c:pt>
                <c:pt idx="228">
                  <c:v>Januar 2044</c:v>
                </c:pt>
                <c:pt idx="229">
                  <c:v>Februar 2044</c:v>
                </c:pt>
                <c:pt idx="230">
                  <c:v>Mars 2044</c:v>
                </c:pt>
                <c:pt idx="231">
                  <c:v>April 2044</c:v>
                </c:pt>
                <c:pt idx="232">
                  <c:v>Mai 2044</c:v>
                </c:pt>
                <c:pt idx="233">
                  <c:v>Juni 2044</c:v>
                </c:pt>
                <c:pt idx="234">
                  <c:v>Juli 2044</c:v>
                </c:pt>
                <c:pt idx="235">
                  <c:v>August 2044</c:v>
                </c:pt>
                <c:pt idx="236">
                  <c:v>September 2044</c:v>
                </c:pt>
                <c:pt idx="237">
                  <c:v>Oktober 2044</c:v>
                </c:pt>
                <c:pt idx="238">
                  <c:v>November 2044</c:v>
                </c:pt>
                <c:pt idx="239">
                  <c:v>Desember 2044</c:v>
                </c:pt>
                <c:pt idx="240">
                  <c:v>Januar 2045</c:v>
                </c:pt>
                <c:pt idx="241">
                  <c:v>Februar 2045</c:v>
                </c:pt>
                <c:pt idx="242">
                  <c:v>Mars 2045</c:v>
                </c:pt>
                <c:pt idx="243">
                  <c:v>April 2045</c:v>
                </c:pt>
                <c:pt idx="244">
                  <c:v>Mai 2045</c:v>
                </c:pt>
                <c:pt idx="245">
                  <c:v>Juni 2045</c:v>
                </c:pt>
                <c:pt idx="246">
                  <c:v>Juli 2045</c:v>
                </c:pt>
                <c:pt idx="247">
                  <c:v>August 2045</c:v>
                </c:pt>
                <c:pt idx="248">
                  <c:v>September 2045</c:v>
                </c:pt>
                <c:pt idx="249">
                  <c:v>Oktober 2045</c:v>
                </c:pt>
                <c:pt idx="250">
                  <c:v>November 2045</c:v>
                </c:pt>
                <c:pt idx="251">
                  <c:v>Desember 2045</c:v>
                </c:pt>
                <c:pt idx="252">
                  <c:v>Januar 2046</c:v>
                </c:pt>
                <c:pt idx="253">
                  <c:v>Februar 2046</c:v>
                </c:pt>
                <c:pt idx="254">
                  <c:v>Mars 2046</c:v>
                </c:pt>
                <c:pt idx="255">
                  <c:v>April 2046</c:v>
                </c:pt>
                <c:pt idx="256">
                  <c:v>Mai 2046</c:v>
                </c:pt>
                <c:pt idx="257">
                  <c:v>Juni 2046</c:v>
                </c:pt>
                <c:pt idx="258">
                  <c:v>Juli 2046</c:v>
                </c:pt>
                <c:pt idx="259">
                  <c:v>August 2046</c:v>
                </c:pt>
                <c:pt idx="260">
                  <c:v>September 2046</c:v>
                </c:pt>
                <c:pt idx="261">
                  <c:v>Oktober 2046</c:v>
                </c:pt>
                <c:pt idx="262">
                  <c:v>November 2046</c:v>
                </c:pt>
                <c:pt idx="263">
                  <c:v>Desember 2046</c:v>
                </c:pt>
                <c:pt idx="264">
                  <c:v>Januar 2047</c:v>
                </c:pt>
                <c:pt idx="265">
                  <c:v>Februar 2047</c:v>
                </c:pt>
                <c:pt idx="266">
                  <c:v>Mars 2047</c:v>
                </c:pt>
                <c:pt idx="267">
                  <c:v>April 2047</c:v>
                </c:pt>
                <c:pt idx="268">
                  <c:v>Mai 2047</c:v>
                </c:pt>
                <c:pt idx="269">
                  <c:v>Juni 2047</c:v>
                </c:pt>
                <c:pt idx="270">
                  <c:v>Juli 2047</c:v>
                </c:pt>
                <c:pt idx="271">
                  <c:v>August 2047</c:v>
                </c:pt>
                <c:pt idx="272">
                  <c:v>September 2047</c:v>
                </c:pt>
                <c:pt idx="273">
                  <c:v>Oktober 2047</c:v>
                </c:pt>
                <c:pt idx="274">
                  <c:v>November 2047</c:v>
                </c:pt>
                <c:pt idx="275">
                  <c:v>Desember 2047</c:v>
                </c:pt>
                <c:pt idx="276">
                  <c:v>Januar 2048</c:v>
                </c:pt>
                <c:pt idx="277">
                  <c:v>Februar 2048</c:v>
                </c:pt>
                <c:pt idx="278">
                  <c:v>Mars 2048</c:v>
                </c:pt>
                <c:pt idx="279">
                  <c:v>April 2048</c:v>
                </c:pt>
                <c:pt idx="280">
                  <c:v>Mai 2048</c:v>
                </c:pt>
                <c:pt idx="281">
                  <c:v>Juni 2048</c:v>
                </c:pt>
                <c:pt idx="282">
                  <c:v>Juli 2048</c:v>
                </c:pt>
                <c:pt idx="283">
                  <c:v>August 2048</c:v>
                </c:pt>
                <c:pt idx="284">
                  <c:v>September 2048</c:v>
                </c:pt>
                <c:pt idx="285">
                  <c:v>Oktober 2048</c:v>
                </c:pt>
                <c:pt idx="286">
                  <c:v>November 2048</c:v>
                </c:pt>
                <c:pt idx="287">
                  <c:v>Desember 2048</c:v>
                </c:pt>
                <c:pt idx="288">
                  <c:v>Januar 2049</c:v>
                </c:pt>
                <c:pt idx="289">
                  <c:v>Februar 2049</c:v>
                </c:pt>
                <c:pt idx="290">
                  <c:v>Mars 2049</c:v>
                </c:pt>
                <c:pt idx="291">
                  <c:v>April 2049</c:v>
                </c:pt>
                <c:pt idx="292">
                  <c:v>Mai 2049</c:v>
                </c:pt>
                <c:pt idx="293">
                  <c:v>Juni 2049</c:v>
                </c:pt>
                <c:pt idx="294">
                  <c:v>Juli 2049</c:v>
                </c:pt>
                <c:pt idx="295">
                  <c:v>August 2049</c:v>
                </c:pt>
                <c:pt idx="296">
                  <c:v>September 2049</c:v>
                </c:pt>
                <c:pt idx="297">
                  <c:v>Oktober 2049</c:v>
                </c:pt>
                <c:pt idx="298">
                  <c:v>November 2049</c:v>
                </c:pt>
                <c:pt idx="299">
                  <c:v>Desember 2049</c:v>
                </c:pt>
                <c:pt idx="300">
                  <c:v>Januar 2050</c:v>
                </c:pt>
                <c:pt idx="301">
                  <c:v>Februar 2050</c:v>
                </c:pt>
                <c:pt idx="302">
                  <c:v>Mars 2050</c:v>
                </c:pt>
                <c:pt idx="303">
                  <c:v>April 2050</c:v>
                </c:pt>
                <c:pt idx="304">
                  <c:v>Mai 2050</c:v>
                </c:pt>
                <c:pt idx="305">
                  <c:v>Juni 2050</c:v>
                </c:pt>
                <c:pt idx="306">
                  <c:v>Juli 2050</c:v>
                </c:pt>
                <c:pt idx="307">
                  <c:v>August 2050</c:v>
                </c:pt>
                <c:pt idx="308">
                  <c:v>September 2050</c:v>
                </c:pt>
                <c:pt idx="309">
                  <c:v>Oktober 2050</c:v>
                </c:pt>
                <c:pt idx="310">
                  <c:v>November 2050</c:v>
                </c:pt>
                <c:pt idx="311">
                  <c:v>Desember 2050</c:v>
                </c:pt>
                <c:pt idx="312">
                  <c:v>Januar 2051</c:v>
                </c:pt>
                <c:pt idx="313">
                  <c:v>Februar 2051</c:v>
                </c:pt>
                <c:pt idx="314">
                  <c:v>Mars 2051</c:v>
                </c:pt>
                <c:pt idx="315">
                  <c:v>April 2051</c:v>
                </c:pt>
                <c:pt idx="316">
                  <c:v>Mai 2051</c:v>
                </c:pt>
                <c:pt idx="317">
                  <c:v>Juni 2051</c:v>
                </c:pt>
                <c:pt idx="318">
                  <c:v>Juli 2051</c:v>
                </c:pt>
                <c:pt idx="319">
                  <c:v>August 2051</c:v>
                </c:pt>
                <c:pt idx="320">
                  <c:v>September 2051</c:v>
                </c:pt>
                <c:pt idx="321">
                  <c:v>Oktober 2051</c:v>
                </c:pt>
                <c:pt idx="322">
                  <c:v>November 2051</c:v>
                </c:pt>
                <c:pt idx="323">
                  <c:v>Desember 2051</c:v>
                </c:pt>
                <c:pt idx="324">
                  <c:v>Januar 2052</c:v>
                </c:pt>
                <c:pt idx="325">
                  <c:v>Februar 2052</c:v>
                </c:pt>
                <c:pt idx="326">
                  <c:v>Mars 2052</c:v>
                </c:pt>
                <c:pt idx="327">
                  <c:v>April 2052</c:v>
                </c:pt>
                <c:pt idx="328">
                  <c:v>Mai 2052</c:v>
                </c:pt>
                <c:pt idx="329">
                  <c:v>Juni 2052</c:v>
                </c:pt>
                <c:pt idx="330">
                  <c:v>Juli 2052</c:v>
                </c:pt>
                <c:pt idx="331">
                  <c:v>August 2052</c:v>
                </c:pt>
                <c:pt idx="332">
                  <c:v>September 2052</c:v>
                </c:pt>
                <c:pt idx="333">
                  <c:v>Oktober 2052</c:v>
                </c:pt>
                <c:pt idx="334">
                  <c:v>November 2052</c:v>
                </c:pt>
                <c:pt idx="335">
                  <c:v>Desember 2052</c:v>
                </c:pt>
                <c:pt idx="336">
                  <c:v>Januar 2053</c:v>
                </c:pt>
                <c:pt idx="337">
                  <c:v>Februar 2053</c:v>
                </c:pt>
                <c:pt idx="338">
                  <c:v>Mars 2053</c:v>
                </c:pt>
                <c:pt idx="339">
                  <c:v>April 2053</c:v>
                </c:pt>
                <c:pt idx="340">
                  <c:v>Mai 2053</c:v>
                </c:pt>
                <c:pt idx="341">
                  <c:v>Juni 2053</c:v>
                </c:pt>
                <c:pt idx="342">
                  <c:v>Juli 2053</c:v>
                </c:pt>
                <c:pt idx="343">
                  <c:v>August 2053</c:v>
                </c:pt>
                <c:pt idx="344">
                  <c:v>September 2053</c:v>
                </c:pt>
                <c:pt idx="345">
                  <c:v>Oktober 2053</c:v>
                </c:pt>
                <c:pt idx="346">
                  <c:v>November 2053</c:v>
                </c:pt>
                <c:pt idx="347">
                  <c:v>Desember 2053</c:v>
                </c:pt>
                <c:pt idx="348">
                  <c:v>Januar 2054</c:v>
                </c:pt>
                <c:pt idx="349">
                  <c:v>Februar 2054</c:v>
                </c:pt>
                <c:pt idx="350">
                  <c:v>Mars 2054</c:v>
                </c:pt>
                <c:pt idx="351">
                  <c:v>April 2054</c:v>
                </c:pt>
                <c:pt idx="352">
                  <c:v>Mai 2054</c:v>
                </c:pt>
                <c:pt idx="353">
                  <c:v>Juni 2054</c:v>
                </c:pt>
                <c:pt idx="354">
                  <c:v>Juli 2054</c:v>
                </c:pt>
                <c:pt idx="355">
                  <c:v>August 2054</c:v>
                </c:pt>
                <c:pt idx="356">
                  <c:v>September 2054</c:v>
                </c:pt>
                <c:pt idx="357">
                  <c:v>Oktober 2054</c:v>
                </c:pt>
                <c:pt idx="358">
                  <c:v>November 2054</c:v>
                </c:pt>
                <c:pt idx="359">
                  <c:v>Desember 2054</c:v>
                </c:pt>
              </c:strCache>
            </c:strRef>
          </c:cat>
          <c:val>
            <c:numRef>
              <c:f>'Dynamisk plan'!$L$18:$L$377</c:f>
              <c:numCache>
                <c:formatCode>[$kr-414]\ #,##0;[Red]\-[$kr-414]\ #,##0</c:formatCode>
                <c:ptCount val="360"/>
                <c:pt idx="0">
                  <c:v>2551634.387820513</c:v>
                </c:pt>
                <c:pt idx="1">
                  <c:v>2543429.775641026</c:v>
                </c:pt>
                <c:pt idx="2">
                  <c:v>2535225.163461539</c:v>
                </c:pt>
                <c:pt idx="3">
                  <c:v>2527020.551282052</c:v>
                </c:pt>
                <c:pt idx="4">
                  <c:v>2518815.9391025649</c:v>
                </c:pt>
                <c:pt idx="5">
                  <c:v>2510611.3269230779</c:v>
                </c:pt>
                <c:pt idx="6">
                  <c:v>2502406.7147435909</c:v>
                </c:pt>
                <c:pt idx="7">
                  <c:v>2494202.1025641039</c:v>
                </c:pt>
                <c:pt idx="8">
                  <c:v>2485997.4903846169</c:v>
                </c:pt>
                <c:pt idx="9">
                  <c:v>2477792.8782051299</c:v>
                </c:pt>
                <c:pt idx="10">
                  <c:v>2469588.2660256429</c:v>
                </c:pt>
                <c:pt idx="11">
                  <c:v>2461383.6538461559</c:v>
                </c:pt>
                <c:pt idx="12">
                  <c:v>2453179.0416666688</c:v>
                </c:pt>
                <c:pt idx="13">
                  <c:v>2444974.4294871818</c:v>
                </c:pt>
                <c:pt idx="14">
                  <c:v>2436769.8173076948</c:v>
                </c:pt>
                <c:pt idx="15">
                  <c:v>2428565.2051282078</c:v>
                </c:pt>
                <c:pt idx="16">
                  <c:v>2420360.5929487208</c:v>
                </c:pt>
                <c:pt idx="17">
                  <c:v>2412155.9807692338</c:v>
                </c:pt>
                <c:pt idx="18">
                  <c:v>2403951.3685897468</c:v>
                </c:pt>
                <c:pt idx="19">
                  <c:v>2395746.7564102598</c:v>
                </c:pt>
                <c:pt idx="20">
                  <c:v>2387542.1442307727</c:v>
                </c:pt>
                <c:pt idx="21">
                  <c:v>2379337.5320512857</c:v>
                </c:pt>
                <c:pt idx="22">
                  <c:v>2371132.9198717987</c:v>
                </c:pt>
                <c:pt idx="23">
                  <c:v>2362928.3076923117</c:v>
                </c:pt>
                <c:pt idx="24">
                  <c:v>2354723.6955128247</c:v>
                </c:pt>
                <c:pt idx="25">
                  <c:v>2346519.0833333377</c:v>
                </c:pt>
                <c:pt idx="26">
                  <c:v>2338314.4711538507</c:v>
                </c:pt>
                <c:pt idx="27">
                  <c:v>2330109.8589743637</c:v>
                </c:pt>
                <c:pt idx="28">
                  <c:v>2321905.2467948766</c:v>
                </c:pt>
                <c:pt idx="29">
                  <c:v>2313700.6346153896</c:v>
                </c:pt>
                <c:pt idx="30">
                  <c:v>2305496.0224359026</c:v>
                </c:pt>
                <c:pt idx="31">
                  <c:v>2297291.4102564156</c:v>
                </c:pt>
                <c:pt idx="32">
                  <c:v>2289086.7980769286</c:v>
                </c:pt>
                <c:pt idx="33">
                  <c:v>2280882.1858974416</c:v>
                </c:pt>
                <c:pt idx="34">
                  <c:v>2272677.5737179546</c:v>
                </c:pt>
                <c:pt idx="35">
                  <c:v>2264472.9615384676</c:v>
                </c:pt>
                <c:pt idx="36">
                  <c:v>2256268.3493589805</c:v>
                </c:pt>
                <c:pt idx="37">
                  <c:v>2248063.7371794935</c:v>
                </c:pt>
                <c:pt idx="38">
                  <c:v>2239859.1250000065</c:v>
                </c:pt>
                <c:pt idx="39">
                  <c:v>2231654.5128205195</c:v>
                </c:pt>
                <c:pt idx="40">
                  <c:v>2223449.9006410325</c:v>
                </c:pt>
                <c:pt idx="41">
                  <c:v>2215245.2884615455</c:v>
                </c:pt>
                <c:pt idx="42">
                  <c:v>2207040.6762820585</c:v>
                </c:pt>
                <c:pt idx="43">
                  <c:v>2198836.0641025715</c:v>
                </c:pt>
                <c:pt idx="44">
                  <c:v>2190631.4519230844</c:v>
                </c:pt>
                <c:pt idx="45">
                  <c:v>2182426.8397435974</c:v>
                </c:pt>
                <c:pt idx="46">
                  <c:v>2174222.2275641104</c:v>
                </c:pt>
                <c:pt idx="47">
                  <c:v>2166017.6153846234</c:v>
                </c:pt>
                <c:pt idx="48">
                  <c:v>2157813.0032051364</c:v>
                </c:pt>
                <c:pt idx="49">
                  <c:v>2149608.3910256494</c:v>
                </c:pt>
                <c:pt idx="50">
                  <c:v>2141403.7788461624</c:v>
                </c:pt>
                <c:pt idx="51">
                  <c:v>2133199.1666666754</c:v>
                </c:pt>
                <c:pt idx="52">
                  <c:v>2124994.5544871883</c:v>
                </c:pt>
                <c:pt idx="53">
                  <c:v>2116789.9423077013</c:v>
                </c:pt>
                <c:pt idx="54">
                  <c:v>2108585.3301282143</c:v>
                </c:pt>
                <c:pt idx="55">
                  <c:v>2100380.7179487273</c:v>
                </c:pt>
                <c:pt idx="56">
                  <c:v>2092176.1057692401</c:v>
                </c:pt>
                <c:pt idx="57">
                  <c:v>2083971.4935897528</c:v>
                </c:pt>
                <c:pt idx="58">
                  <c:v>2075766.8814102656</c:v>
                </c:pt>
                <c:pt idx="59">
                  <c:v>2067562.2692307783</c:v>
                </c:pt>
                <c:pt idx="60">
                  <c:v>2059357.6570512911</c:v>
                </c:pt>
                <c:pt idx="61">
                  <c:v>2051153.0448718038</c:v>
                </c:pt>
                <c:pt idx="62">
                  <c:v>2042948.4326923166</c:v>
                </c:pt>
                <c:pt idx="63">
                  <c:v>2034743.8205128293</c:v>
                </c:pt>
                <c:pt idx="64">
                  <c:v>2026539.2083333421</c:v>
                </c:pt>
                <c:pt idx="65">
                  <c:v>2018334.5961538549</c:v>
                </c:pt>
                <c:pt idx="66">
                  <c:v>2010129.9839743676</c:v>
                </c:pt>
                <c:pt idx="67">
                  <c:v>2001925.3717948804</c:v>
                </c:pt>
                <c:pt idx="68">
                  <c:v>1993720.7596153931</c:v>
                </c:pt>
                <c:pt idx="69">
                  <c:v>1985516.1474359059</c:v>
                </c:pt>
                <c:pt idx="70">
                  <c:v>1977311.5352564186</c:v>
                </c:pt>
                <c:pt idx="71">
                  <c:v>1969106.9230769314</c:v>
                </c:pt>
                <c:pt idx="72">
                  <c:v>1960902.3108974441</c:v>
                </c:pt>
                <c:pt idx="73">
                  <c:v>1952697.6987179569</c:v>
                </c:pt>
                <c:pt idx="74">
                  <c:v>1944493.0865384697</c:v>
                </c:pt>
                <c:pt idx="75">
                  <c:v>1936288.4743589824</c:v>
                </c:pt>
                <c:pt idx="76">
                  <c:v>1928083.8621794952</c:v>
                </c:pt>
                <c:pt idx="77">
                  <c:v>1919879.2500000079</c:v>
                </c:pt>
                <c:pt idx="78">
                  <c:v>1911674.6378205207</c:v>
                </c:pt>
                <c:pt idx="79">
                  <c:v>1903470.0256410334</c:v>
                </c:pt>
                <c:pt idx="80">
                  <c:v>1895265.4134615462</c:v>
                </c:pt>
                <c:pt idx="81">
                  <c:v>1887060.8012820589</c:v>
                </c:pt>
                <c:pt idx="82">
                  <c:v>1878856.1891025717</c:v>
                </c:pt>
                <c:pt idx="83">
                  <c:v>1870651.5769230844</c:v>
                </c:pt>
                <c:pt idx="84">
                  <c:v>1862446.9647435972</c:v>
                </c:pt>
                <c:pt idx="85">
                  <c:v>1854242.35256411</c:v>
                </c:pt>
                <c:pt idx="86">
                  <c:v>1846037.7403846227</c:v>
                </c:pt>
                <c:pt idx="87">
                  <c:v>1837833.1282051355</c:v>
                </c:pt>
                <c:pt idx="88">
                  <c:v>1829628.5160256482</c:v>
                </c:pt>
                <c:pt idx="89">
                  <c:v>1821423.903846161</c:v>
                </c:pt>
                <c:pt idx="90">
                  <c:v>1813219.2916666737</c:v>
                </c:pt>
                <c:pt idx="91">
                  <c:v>1805014.6794871865</c:v>
                </c:pt>
                <c:pt idx="92">
                  <c:v>1796810.0673076992</c:v>
                </c:pt>
                <c:pt idx="93">
                  <c:v>1788605.455128212</c:v>
                </c:pt>
                <c:pt idx="94">
                  <c:v>1780400.8429487247</c:v>
                </c:pt>
                <c:pt idx="95">
                  <c:v>1772196.2307692375</c:v>
                </c:pt>
                <c:pt idx="96">
                  <c:v>1763991.6185897503</c:v>
                </c:pt>
                <c:pt idx="97">
                  <c:v>1755787.006410263</c:v>
                </c:pt>
                <c:pt idx="98">
                  <c:v>1747582.3942307758</c:v>
                </c:pt>
                <c:pt idx="99">
                  <c:v>1739377.7820512885</c:v>
                </c:pt>
                <c:pt idx="100">
                  <c:v>1731173.1698718013</c:v>
                </c:pt>
                <c:pt idx="101">
                  <c:v>1722968.557692314</c:v>
                </c:pt>
                <c:pt idx="102">
                  <c:v>1714763.9455128268</c:v>
                </c:pt>
                <c:pt idx="103">
                  <c:v>1706559.3333333395</c:v>
                </c:pt>
                <c:pt idx="104">
                  <c:v>1698354.7211538523</c:v>
                </c:pt>
                <c:pt idx="105">
                  <c:v>1690150.1089743651</c:v>
                </c:pt>
                <c:pt idx="106">
                  <c:v>1681945.4967948778</c:v>
                </c:pt>
                <c:pt idx="107">
                  <c:v>1673740.8846153906</c:v>
                </c:pt>
                <c:pt idx="108">
                  <c:v>1665536.2724359033</c:v>
                </c:pt>
                <c:pt idx="109">
                  <c:v>1657331.6602564161</c:v>
                </c:pt>
                <c:pt idx="110">
                  <c:v>1649127.0480769288</c:v>
                </c:pt>
                <c:pt idx="111">
                  <c:v>1640922.4358974416</c:v>
                </c:pt>
                <c:pt idx="112">
                  <c:v>1632717.8237179543</c:v>
                </c:pt>
                <c:pt idx="113">
                  <c:v>1624513.2115384671</c:v>
                </c:pt>
                <c:pt idx="114">
                  <c:v>1616308.5993589798</c:v>
                </c:pt>
                <c:pt idx="115">
                  <c:v>1608103.9871794926</c:v>
                </c:pt>
                <c:pt idx="116">
                  <c:v>1599899.3750000054</c:v>
                </c:pt>
                <c:pt idx="117">
                  <c:v>1591694.7628205181</c:v>
                </c:pt>
                <c:pt idx="118">
                  <c:v>1583490.1506410309</c:v>
                </c:pt>
                <c:pt idx="119">
                  <c:v>1575285.5384615436</c:v>
                </c:pt>
                <c:pt idx="120">
                  <c:v>1567080.9262820564</c:v>
                </c:pt>
                <c:pt idx="121">
                  <c:v>1558876.3141025691</c:v>
                </c:pt>
                <c:pt idx="122">
                  <c:v>1550671.7019230819</c:v>
                </c:pt>
                <c:pt idx="123">
                  <c:v>1542467.0897435946</c:v>
                </c:pt>
                <c:pt idx="124">
                  <c:v>1534262.4775641074</c:v>
                </c:pt>
                <c:pt idx="125">
                  <c:v>1526057.8653846201</c:v>
                </c:pt>
                <c:pt idx="126">
                  <c:v>1517853.2532051329</c:v>
                </c:pt>
                <c:pt idx="127">
                  <c:v>1509648.6410256457</c:v>
                </c:pt>
                <c:pt idx="128">
                  <c:v>1501444.0288461584</c:v>
                </c:pt>
                <c:pt idx="129">
                  <c:v>1493239.4166666712</c:v>
                </c:pt>
                <c:pt idx="130">
                  <c:v>1485034.8044871839</c:v>
                </c:pt>
                <c:pt idx="131">
                  <c:v>1476830.1923076967</c:v>
                </c:pt>
                <c:pt idx="132">
                  <c:v>1468625.5801282094</c:v>
                </c:pt>
                <c:pt idx="133">
                  <c:v>1460420.9679487222</c:v>
                </c:pt>
                <c:pt idx="134">
                  <c:v>1452216.3557692349</c:v>
                </c:pt>
                <c:pt idx="135">
                  <c:v>1444011.7435897477</c:v>
                </c:pt>
                <c:pt idx="136">
                  <c:v>1435807.1314102605</c:v>
                </c:pt>
                <c:pt idx="137">
                  <c:v>1427602.5192307732</c:v>
                </c:pt>
                <c:pt idx="138">
                  <c:v>1419397.907051286</c:v>
                </c:pt>
                <c:pt idx="139">
                  <c:v>1411193.2948717987</c:v>
                </c:pt>
                <c:pt idx="140">
                  <c:v>1402988.6826923115</c:v>
                </c:pt>
                <c:pt idx="141">
                  <c:v>1394784.0705128242</c:v>
                </c:pt>
                <c:pt idx="142">
                  <c:v>1386579.458333337</c:v>
                </c:pt>
                <c:pt idx="143">
                  <c:v>1378374.8461538497</c:v>
                </c:pt>
                <c:pt idx="144">
                  <c:v>1370170.2339743625</c:v>
                </c:pt>
                <c:pt idx="145">
                  <c:v>1361965.6217948752</c:v>
                </c:pt>
                <c:pt idx="146">
                  <c:v>1353761.009615388</c:v>
                </c:pt>
                <c:pt idx="147">
                  <c:v>1345556.3974359008</c:v>
                </c:pt>
                <c:pt idx="148">
                  <c:v>1337351.7852564135</c:v>
                </c:pt>
                <c:pt idx="149">
                  <c:v>1329147.1730769263</c:v>
                </c:pt>
                <c:pt idx="150">
                  <c:v>1320942.560897439</c:v>
                </c:pt>
                <c:pt idx="151">
                  <c:v>1312737.9487179518</c:v>
                </c:pt>
                <c:pt idx="152">
                  <c:v>1304533.3365384645</c:v>
                </c:pt>
                <c:pt idx="153">
                  <c:v>1296328.7243589773</c:v>
                </c:pt>
                <c:pt idx="154">
                  <c:v>1288124.11217949</c:v>
                </c:pt>
                <c:pt idx="155">
                  <c:v>1279919.5000000028</c:v>
                </c:pt>
                <c:pt idx="156">
                  <c:v>1271714.8878205155</c:v>
                </c:pt>
                <c:pt idx="157">
                  <c:v>1263510.2756410283</c:v>
                </c:pt>
                <c:pt idx="158">
                  <c:v>1255305.6634615411</c:v>
                </c:pt>
                <c:pt idx="159">
                  <c:v>1247101.0512820538</c:v>
                </c:pt>
                <c:pt idx="160">
                  <c:v>1238896.4391025666</c:v>
                </c:pt>
                <c:pt idx="161">
                  <c:v>1230691.8269230793</c:v>
                </c:pt>
                <c:pt idx="162">
                  <c:v>1222487.2147435921</c:v>
                </c:pt>
                <c:pt idx="163">
                  <c:v>1214282.6025641048</c:v>
                </c:pt>
                <c:pt idx="164">
                  <c:v>1206077.9903846176</c:v>
                </c:pt>
                <c:pt idx="165">
                  <c:v>1197873.3782051303</c:v>
                </c:pt>
                <c:pt idx="166">
                  <c:v>1189668.7660256431</c:v>
                </c:pt>
                <c:pt idx="167">
                  <c:v>1181464.1538461559</c:v>
                </c:pt>
                <c:pt idx="168">
                  <c:v>1173259.5416666686</c:v>
                </c:pt>
                <c:pt idx="169">
                  <c:v>1165054.9294871814</c:v>
                </c:pt>
                <c:pt idx="170">
                  <c:v>1156850.3173076941</c:v>
                </c:pt>
                <c:pt idx="171">
                  <c:v>1148645.7051282069</c:v>
                </c:pt>
                <c:pt idx="172">
                  <c:v>1140441.0929487196</c:v>
                </c:pt>
                <c:pt idx="173">
                  <c:v>1132236.4807692324</c:v>
                </c:pt>
                <c:pt idx="174">
                  <c:v>1124031.8685897451</c:v>
                </c:pt>
                <c:pt idx="175">
                  <c:v>1115827.2564102579</c:v>
                </c:pt>
                <c:pt idx="176">
                  <c:v>1107622.6442307706</c:v>
                </c:pt>
                <c:pt idx="177">
                  <c:v>1099418.0320512834</c:v>
                </c:pt>
                <c:pt idx="178">
                  <c:v>1091213.4198717962</c:v>
                </c:pt>
                <c:pt idx="179">
                  <c:v>1083008.8076923089</c:v>
                </c:pt>
                <c:pt idx="180">
                  <c:v>1074804.1955128217</c:v>
                </c:pt>
                <c:pt idx="181">
                  <c:v>1066599.5833333344</c:v>
                </c:pt>
                <c:pt idx="182">
                  <c:v>1058394.9711538472</c:v>
                </c:pt>
                <c:pt idx="183">
                  <c:v>1050190.3589743599</c:v>
                </c:pt>
                <c:pt idx="184">
                  <c:v>1041985.7467948728</c:v>
                </c:pt>
                <c:pt idx="185">
                  <c:v>1033781.1346153857</c:v>
                </c:pt>
                <c:pt idx="186">
                  <c:v>1025576.5224358985</c:v>
                </c:pt>
                <c:pt idx="187">
                  <c:v>1017371.9102564114</c:v>
                </c:pt>
                <c:pt idx="188">
                  <c:v>1009167.2980769243</c:v>
                </c:pt>
                <c:pt idx="189">
                  <c:v>1000962.6858974372</c:v>
                </c:pt>
                <c:pt idx="190">
                  <c:v>992758.07371795003</c:v>
                </c:pt>
                <c:pt idx="191">
                  <c:v>984553.4615384629</c:v>
                </c:pt>
                <c:pt idx="192">
                  <c:v>976348.84935897577</c:v>
                </c:pt>
                <c:pt idx="193">
                  <c:v>968144.23717948864</c:v>
                </c:pt>
                <c:pt idx="194">
                  <c:v>959939.62500000151</c:v>
                </c:pt>
                <c:pt idx="195">
                  <c:v>951735.01282051438</c:v>
                </c:pt>
                <c:pt idx="196">
                  <c:v>943530.40064102726</c:v>
                </c:pt>
                <c:pt idx="197">
                  <c:v>935325.78846154013</c:v>
                </c:pt>
                <c:pt idx="198">
                  <c:v>927121.176282053</c:v>
                </c:pt>
                <c:pt idx="199">
                  <c:v>918916.56410256587</c:v>
                </c:pt>
                <c:pt idx="200">
                  <c:v>910711.95192307874</c:v>
                </c:pt>
                <c:pt idx="201">
                  <c:v>902507.33974359161</c:v>
                </c:pt>
                <c:pt idx="202">
                  <c:v>894302.72756410448</c:v>
                </c:pt>
                <c:pt idx="203">
                  <c:v>886098.11538461735</c:v>
                </c:pt>
                <c:pt idx="204">
                  <c:v>877893.50320513023</c:v>
                </c:pt>
                <c:pt idx="205">
                  <c:v>869688.8910256431</c:v>
                </c:pt>
                <c:pt idx="206">
                  <c:v>861484.27884615597</c:v>
                </c:pt>
                <c:pt idx="207">
                  <c:v>853279.66666666884</c:v>
                </c:pt>
                <c:pt idx="208">
                  <c:v>845075.05448718171</c:v>
                </c:pt>
                <c:pt idx="209">
                  <c:v>836870.44230769458</c:v>
                </c:pt>
                <c:pt idx="210">
                  <c:v>828665.83012820745</c:v>
                </c:pt>
                <c:pt idx="211">
                  <c:v>820461.21794872032</c:v>
                </c:pt>
                <c:pt idx="212">
                  <c:v>812256.6057692332</c:v>
                </c:pt>
                <c:pt idx="213">
                  <c:v>804051.99358974607</c:v>
                </c:pt>
                <c:pt idx="214">
                  <c:v>795847.38141025894</c:v>
                </c:pt>
                <c:pt idx="215">
                  <c:v>787642.76923077181</c:v>
                </c:pt>
                <c:pt idx="216">
                  <c:v>779438.15705128468</c:v>
                </c:pt>
                <c:pt idx="217">
                  <c:v>771233.54487179755</c:v>
                </c:pt>
                <c:pt idx="218">
                  <c:v>763028.93269231042</c:v>
                </c:pt>
                <c:pt idx="219">
                  <c:v>754824.32051282329</c:v>
                </c:pt>
                <c:pt idx="220">
                  <c:v>746619.70833333617</c:v>
                </c:pt>
                <c:pt idx="221">
                  <c:v>738415.09615384904</c:v>
                </c:pt>
                <c:pt idx="222">
                  <c:v>730210.48397436191</c:v>
                </c:pt>
                <c:pt idx="223">
                  <c:v>722005.87179487478</c:v>
                </c:pt>
                <c:pt idx="224">
                  <c:v>713801.25961538765</c:v>
                </c:pt>
                <c:pt idx="225">
                  <c:v>705596.64743590052</c:v>
                </c:pt>
                <c:pt idx="226">
                  <c:v>697392.03525641339</c:v>
                </c:pt>
                <c:pt idx="227">
                  <c:v>689187.42307692626</c:v>
                </c:pt>
                <c:pt idx="228">
                  <c:v>680982.81089743914</c:v>
                </c:pt>
                <c:pt idx="229">
                  <c:v>672778.19871795201</c:v>
                </c:pt>
                <c:pt idx="230">
                  <c:v>664573.58653846488</c:v>
                </c:pt>
                <c:pt idx="231">
                  <c:v>656368.97435897775</c:v>
                </c:pt>
                <c:pt idx="232">
                  <c:v>648164.36217949062</c:v>
                </c:pt>
                <c:pt idx="233">
                  <c:v>639959.75000000349</c:v>
                </c:pt>
                <c:pt idx="234">
                  <c:v>631755.13782051636</c:v>
                </c:pt>
                <c:pt idx="235">
                  <c:v>623550.52564102923</c:v>
                </c:pt>
                <c:pt idx="236">
                  <c:v>615345.91346154211</c:v>
                </c:pt>
                <c:pt idx="237">
                  <c:v>607141.30128205498</c:v>
                </c:pt>
                <c:pt idx="238">
                  <c:v>598936.68910256785</c:v>
                </c:pt>
                <c:pt idx="239">
                  <c:v>590732.07692308072</c:v>
                </c:pt>
                <c:pt idx="240">
                  <c:v>582527.46474359359</c:v>
                </c:pt>
                <c:pt idx="241">
                  <c:v>574322.85256410646</c:v>
                </c:pt>
                <c:pt idx="242">
                  <c:v>566118.24038461933</c:v>
                </c:pt>
                <c:pt idx="243">
                  <c:v>557913.62820513221</c:v>
                </c:pt>
                <c:pt idx="244">
                  <c:v>549709.01602564508</c:v>
                </c:pt>
                <c:pt idx="245">
                  <c:v>541504.40384615795</c:v>
                </c:pt>
                <c:pt idx="246">
                  <c:v>533299.79166667082</c:v>
                </c:pt>
                <c:pt idx="247">
                  <c:v>525095.17948718369</c:v>
                </c:pt>
                <c:pt idx="248">
                  <c:v>516890.56730769656</c:v>
                </c:pt>
                <c:pt idx="249">
                  <c:v>508685.95512820943</c:v>
                </c:pt>
                <c:pt idx="250">
                  <c:v>500481.3429487223</c:v>
                </c:pt>
                <c:pt idx="251">
                  <c:v>492276.73076923518</c:v>
                </c:pt>
                <c:pt idx="252">
                  <c:v>484072.11858974805</c:v>
                </c:pt>
                <c:pt idx="253">
                  <c:v>475867.50641026092</c:v>
                </c:pt>
                <c:pt idx="254">
                  <c:v>467662.89423077379</c:v>
                </c:pt>
                <c:pt idx="255">
                  <c:v>459458.28205128666</c:v>
                </c:pt>
                <c:pt idx="256">
                  <c:v>451253.66987179953</c:v>
                </c:pt>
                <c:pt idx="257">
                  <c:v>443049.0576923124</c:v>
                </c:pt>
                <c:pt idx="258">
                  <c:v>434844.44551282527</c:v>
                </c:pt>
                <c:pt idx="259">
                  <c:v>426639.83333333815</c:v>
                </c:pt>
                <c:pt idx="260">
                  <c:v>418435.22115385102</c:v>
                </c:pt>
                <c:pt idx="261">
                  <c:v>410230.60897436389</c:v>
                </c:pt>
                <c:pt idx="262">
                  <c:v>402025.99679487676</c:v>
                </c:pt>
                <c:pt idx="263">
                  <c:v>393821.38461538963</c:v>
                </c:pt>
                <c:pt idx="264">
                  <c:v>385616.7724359025</c:v>
                </c:pt>
                <c:pt idx="265">
                  <c:v>377412.16025641537</c:v>
                </c:pt>
                <c:pt idx="266">
                  <c:v>369207.54807692824</c:v>
                </c:pt>
                <c:pt idx="267">
                  <c:v>361002.93589744112</c:v>
                </c:pt>
                <c:pt idx="268">
                  <c:v>352798.32371795399</c:v>
                </c:pt>
                <c:pt idx="269">
                  <c:v>344593.71153846686</c:v>
                </c:pt>
                <c:pt idx="270">
                  <c:v>336389.09935897973</c:v>
                </c:pt>
                <c:pt idx="271">
                  <c:v>328184.4871794926</c:v>
                </c:pt>
                <c:pt idx="272">
                  <c:v>319979.87500000547</c:v>
                </c:pt>
                <c:pt idx="273">
                  <c:v>311775.26282051834</c:v>
                </c:pt>
                <c:pt idx="274">
                  <c:v>303570.65064103121</c:v>
                </c:pt>
                <c:pt idx="275">
                  <c:v>295366.03846154409</c:v>
                </c:pt>
                <c:pt idx="276">
                  <c:v>287161.42628205696</c:v>
                </c:pt>
                <c:pt idx="277">
                  <c:v>278956.81410256983</c:v>
                </c:pt>
                <c:pt idx="278">
                  <c:v>270752.2019230827</c:v>
                </c:pt>
                <c:pt idx="279">
                  <c:v>262547.58974359557</c:v>
                </c:pt>
                <c:pt idx="280">
                  <c:v>254342.97756410841</c:v>
                </c:pt>
                <c:pt idx="281">
                  <c:v>246138.36538462125</c:v>
                </c:pt>
                <c:pt idx="282">
                  <c:v>237933.7532051341</c:v>
                </c:pt>
                <c:pt idx="283">
                  <c:v>229729.14102564694</c:v>
                </c:pt>
                <c:pt idx="284">
                  <c:v>221524.52884615978</c:v>
                </c:pt>
                <c:pt idx="285">
                  <c:v>213319.91666667262</c:v>
                </c:pt>
                <c:pt idx="286">
                  <c:v>205115.30448718547</c:v>
                </c:pt>
                <c:pt idx="287">
                  <c:v>196910.69230769831</c:v>
                </c:pt>
                <c:pt idx="288">
                  <c:v>188706.08012821115</c:v>
                </c:pt>
                <c:pt idx="289">
                  <c:v>180501.46794872399</c:v>
                </c:pt>
                <c:pt idx="290">
                  <c:v>172296.85576923683</c:v>
                </c:pt>
                <c:pt idx="291">
                  <c:v>164092.24358974968</c:v>
                </c:pt>
                <c:pt idx="292">
                  <c:v>155887.63141026252</c:v>
                </c:pt>
                <c:pt idx="293">
                  <c:v>147683.01923077536</c:v>
                </c:pt>
                <c:pt idx="294">
                  <c:v>139478.4070512882</c:v>
                </c:pt>
                <c:pt idx="295">
                  <c:v>131273.79487180104</c:v>
                </c:pt>
                <c:pt idx="296">
                  <c:v>123069.1826923139</c:v>
                </c:pt>
                <c:pt idx="297">
                  <c:v>114864.57051282676</c:v>
                </c:pt>
                <c:pt idx="298">
                  <c:v>106659.95833333961</c:v>
                </c:pt>
                <c:pt idx="299">
                  <c:v>98455.346153852472</c:v>
                </c:pt>
                <c:pt idx="300">
                  <c:v>90250.733974365328</c:v>
                </c:pt>
                <c:pt idx="301">
                  <c:v>82046.121794878185</c:v>
                </c:pt>
                <c:pt idx="302">
                  <c:v>73841.509615391042</c:v>
                </c:pt>
                <c:pt idx="303">
                  <c:v>65636.897435903898</c:v>
                </c:pt>
                <c:pt idx="304">
                  <c:v>57432.285256416755</c:v>
                </c:pt>
                <c:pt idx="305">
                  <c:v>49227.673076929612</c:v>
                </c:pt>
                <c:pt idx="306">
                  <c:v>41023.060897442469</c:v>
                </c:pt>
                <c:pt idx="307">
                  <c:v>32818.448717955325</c:v>
                </c:pt>
                <c:pt idx="308">
                  <c:v>24613.836538468178</c:v>
                </c:pt>
                <c:pt idx="309">
                  <c:v>16409.224358981031</c:v>
                </c:pt>
                <c:pt idx="310">
                  <c:v>8204.6121794938845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DD1-4601-9DE1-1786BE08E5B3}"/>
            </c:ext>
          </c:extLst>
        </c:ser>
        <c:ser>
          <c:idx val="2"/>
          <c:order val="2"/>
          <c:tx>
            <c:strRef>
              <c:f>'Dynamisk plan'!$Z$16</c:f>
              <c:strCache>
                <c:ptCount val="1"/>
                <c:pt idx="0">
                  <c:v>Saldo</c:v>
                </c:pt>
              </c:strCache>
            </c:strRef>
          </c:tx>
          <c:spPr>
            <a:solidFill>
              <a:srgbClr val="FF6633"/>
            </a:solidFill>
            <a:ln>
              <a:solidFill>
                <a:srgbClr val="000000"/>
              </a:solidFill>
            </a:ln>
          </c:spPr>
          <c:dLbls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1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'Dynamisk plan'!$A$18:$A$377</c:f>
              <c:strCache>
                <c:ptCount val="360"/>
                <c:pt idx="0">
                  <c:v>Januar 2025</c:v>
                </c:pt>
                <c:pt idx="1">
                  <c:v>Februar 2025</c:v>
                </c:pt>
                <c:pt idx="2">
                  <c:v>Mars 2025</c:v>
                </c:pt>
                <c:pt idx="3">
                  <c:v>April 2025</c:v>
                </c:pt>
                <c:pt idx="4">
                  <c:v>Mai 2025</c:v>
                </c:pt>
                <c:pt idx="5">
                  <c:v>Juni 2025</c:v>
                </c:pt>
                <c:pt idx="6">
                  <c:v>Juli 2025</c:v>
                </c:pt>
                <c:pt idx="7">
                  <c:v>August 2025</c:v>
                </c:pt>
                <c:pt idx="8">
                  <c:v>September 2025</c:v>
                </c:pt>
                <c:pt idx="9">
                  <c:v>Oktober 2025</c:v>
                </c:pt>
                <c:pt idx="10">
                  <c:v>November 2025</c:v>
                </c:pt>
                <c:pt idx="11">
                  <c:v>Desember 2025</c:v>
                </c:pt>
                <c:pt idx="12">
                  <c:v>Januar 2026</c:v>
                </c:pt>
                <c:pt idx="13">
                  <c:v>Februar 2026</c:v>
                </c:pt>
                <c:pt idx="14">
                  <c:v>Mars 2026</c:v>
                </c:pt>
                <c:pt idx="15">
                  <c:v>April 2026</c:v>
                </c:pt>
                <c:pt idx="16">
                  <c:v>Mai 2026</c:v>
                </c:pt>
                <c:pt idx="17">
                  <c:v>Juni 2026</c:v>
                </c:pt>
                <c:pt idx="18">
                  <c:v>Juli 2026</c:v>
                </c:pt>
                <c:pt idx="19">
                  <c:v>August 2026</c:v>
                </c:pt>
                <c:pt idx="20">
                  <c:v>September 2026</c:v>
                </c:pt>
                <c:pt idx="21">
                  <c:v>Oktober 2026</c:v>
                </c:pt>
                <c:pt idx="22">
                  <c:v>November 2026</c:v>
                </c:pt>
                <c:pt idx="23">
                  <c:v>Desember 2026</c:v>
                </c:pt>
                <c:pt idx="24">
                  <c:v>Januar 2027</c:v>
                </c:pt>
                <c:pt idx="25">
                  <c:v>Februar 2027</c:v>
                </c:pt>
                <c:pt idx="26">
                  <c:v>Mars 2027</c:v>
                </c:pt>
                <c:pt idx="27">
                  <c:v>April 2027</c:v>
                </c:pt>
                <c:pt idx="28">
                  <c:v>Mai 2027</c:v>
                </c:pt>
                <c:pt idx="29">
                  <c:v>Juni 2027</c:v>
                </c:pt>
                <c:pt idx="30">
                  <c:v>Juli 2027</c:v>
                </c:pt>
                <c:pt idx="31">
                  <c:v>August 2027</c:v>
                </c:pt>
                <c:pt idx="32">
                  <c:v>September 2027</c:v>
                </c:pt>
                <c:pt idx="33">
                  <c:v>Oktober 2027</c:v>
                </c:pt>
                <c:pt idx="34">
                  <c:v>November 2027</c:v>
                </c:pt>
                <c:pt idx="35">
                  <c:v>Desember 2027</c:v>
                </c:pt>
                <c:pt idx="36">
                  <c:v>Januar 2028</c:v>
                </c:pt>
                <c:pt idx="37">
                  <c:v>Februar 2028</c:v>
                </c:pt>
                <c:pt idx="38">
                  <c:v>Mars 2028</c:v>
                </c:pt>
                <c:pt idx="39">
                  <c:v>April 2028</c:v>
                </c:pt>
                <c:pt idx="40">
                  <c:v>Mai 2028</c:v>
                </c:pt>
                <c:pt idx="41">
                  <c:v>Juni 2028</c:v>
                </c:pt>
                <c:pt idx="42">
                  <c:v>Juli 2028</c:v>
                </c:pt>
                <c:pt idx="43">
                  <c:v>August 2028</c:v>
                </c:pt>
                <c:pt idx="44">
                  <c:v>September 2028</c:v>
                </c:pt>
                <c:pt idx="45">
                  <c:v>Oktober 2028</c:v>
                </c:pt>
                <c:pt idx="46">
                  <c:v>November 2028</c:v>
                </c:pt>
                <c:pt idx="47">
                  <c:v>Desember 2028</c:v>
                </c:pt>
                <c:pt idx="48">
                  <c:v>Januar 2029</c:v>
                </c:pt>
                <c:pt idx="49">
                  <c:v>Februar 2029</c:v>
                </c:pt>
                <c:pt idx="50">
                  <c:v>Mars 2029</c:v>
                </c:pt>
                <c:pt idx="51">
                  <c:v>April 2029</c:v>
                </c:pt>
                <c:pt idx="52">
                  <c:v>Mai 2029</c:v>
                </c:pt>
                <c:pt idx="53">
                  <c:v>Juni 2029</c:v>
                </c:pt>
                <c:pt idx="54">
                  <c:v>Juli 2029</c:v>
                </c:pt>
                <c:pt idx="55">
                  <c:v>August 2029</c:v>
                </c:pt>
                <c:pt idx="56">
                  <c:v>September 2029</c:v>
                </c:pt>
                <c:pt idx="57">
                  <c:v>Oktober 2029</c:v>
                </c:pt>
                <c:pt idx="58">
                  <c:v>November 2029</c:v>
                </c:pt>
                <c:pt idx="59">
                  <c:v>Desember 2029</c:v>
                </c:pt>
                <c:pt idx="60">
                  <c:v>Januar 2030</c:v>
                </c:pt>
                <c:pt idx="61">
                  <c:v>Februar 2030</c:v>
                </c:pt>
                <c:pt idx="62">
                  <c:v>Mars 2030</c:v>
                </c:pt>
                <c:pt idx="63">
                  <c:v>April 2030</c:v>
                </c:pt>
                <c:pt idx="64">
                  <c:v>Mai 2030</c:v>
                </c:pt>
                <c:pt idx="65">
                  <c:v>Juni 2030</c:v>
                </c:pt>
                <c:pt idx="66">
                  <c:v>Juli 2030</c:v>
                </c:pt>
                <c:pt idx="67">
                  <c:v>August 2030</c:v>
                </c:pt>
                <c:pt idx="68">
                  <c:v>September 2030</c:v>
                </c:pt>
                <c:pt idx="69">
                  <c:v>Oktober 2030</c:v>
                </c:pt>
                <c:pt idx="70">
                  <c:v>November 2030</c:v>
                </c:pt>
                <c:pt idx="71">
                  <c:v>Desember 2030</c:v>
                </c:pt>
                <c:pt idx="72">
                  <c:v>Januar 2031</c:v>
                </c:pt>
                <c:pt idx="73">
                  <c:v>Februar 2031</c:v>
                </c:pt>
                <c:pt idx="74">
                  <c:v>Mars 2031</c:v>
                </c:pt>
                <c:pt idx="75">
                  <c:v>April 2031</c:v>
                </c:pt>
                <c:pt idx="76">
                  <c:v>Mai 2031</c:v>
                </c:pt>
                <c:pt idx="77">
                  <c:v>Juni 2031</c:v>
                </c:pt>
                <c:pt idx="78">
                  <c:v>Juli 2031</c:v>
                </c:pt>
                <c:pt idx="79">
                  <c:v>August 2031</c:v>
                </c:pt>
                <c:pt idx="80">
                  <c:v>September 2031</c:v>
                </c:pt>
                <c:pt idx="81">
                  <c:v>Oktober 2031</c:v>
                </c:pt>
                <c:pt idx="82">
                  <c:v>November 2031</c:v>
                </c:pt>
                <c:pt idx="83">
                  <c:v>Desember 2031</c:v>
                </c:pt>
                <c:pt idx="84">
                  <c:v>Januar 2032</c:v>
                </c:pt>
                <c:pt idx="85">
                  <c:v>Februar 2032</c:v>
                </c:pt>
                <c:pt idx="86">
                  <c:v>Mars 2032</c:v>
                </c:pt>
                <c:pt idx="87">
                  <c:v>April 2032</c:v>
                </c:pt>
                <c:pt idx="88">
                  <c:v>Mai 2032</c:v>
                </c:pt>
                <c:pt idx="89">
                  <c:v>Juni 2032</c:v>
                </c:pt>
                <c:pt idx="90">
                  <c:v>Juli 2032</c:v>
                </c:pt>
                <c:pt idx="91">
                  <c:v>August 2032</c:v>
                </c:pt>
                <c:pt idx="92">
                  <c:v>September 2032</c:v>
                </c:pt>
                <c:pt idx="93">
                  <c:v>Oktober 2032</c:v>
                </c:pt>
                <c:pt idx="94">
                  <c:v>November 2032</c:v>
                </c:pt>
                <c:pt idx="95">
                  <c:v>Desember 2032</c:v>
                </c:pt>
                <c:pt idx="96">
                  <c:v>Januar 2033</c:v>
                </c:pt>
                <c:pt idx="97">
                  <c:v>Februar 2033</c:v>
                </c:pt>
                <c:pt idx="98">
                  <c:v>Mars 2033</c:v>
                </c:pt>
                <c:pt idx="99">
                  <c:v>April 2033</c:v>
                </c:pt>
                <c:pt idx="100">
                  <c:v>Mai 2033</c:v>
                </c:pt>
                <c:pt idx="101">
                  <c:v>Juni 2033</c:v>
                </c:pt>
                <c:pt idx="102">
                  <c:v>Juli 2033</c:v>
                </c:pt>
                <c:pt idx="103">
                  <c:v>August 2033</c:v>
                </c:pt>
                <c:pt idx="104">
                  <c:v>September 2033</c:v>
                </c:pt>
                <c:pt idx="105">
                  <c:v>Oktober 2033</c:v>
                </c:pt>
                <c:pt idx="106">
                  <c:v>November 2033</c:v>
                </c:pt>
                <c:pt idx="107">
                  <c:v>Desember 2033</c:v>
                </c:pt>
                <c:pt idx="108">
                  <c:v>Januar 2034</c:v>
                </c:pt>
                <c:pt idx="109">
                  <c:v>Februar 2034</c:v>
                </c:pt>
                <c:pt idx="110">
                  <c:v>Mars 2034</c:v>
                </c:pt>
                <c:pt idx="111">
                  <c:v>April 2034</c:v>
                </c:pt>
                <c:pt idx="112">
                  <c:v>Mai 2034</c:v>
                </c:pt>
                <c:pt idx="113">
                  <c:v>Juni 2034</c:v>
                </c:pt>
                <c:pt idx="114">
                  <c:v>Juli 2034</c:v>
                </c:pt>
                <c:pt idx="115">
                  <c:v>August 2034</c:v>
                </c:pt>
                <c:pt idx="116">
                  <c:v>September 2034</c:v>
                </c:pt>
                <c:pt idx="117">
                  <c:v>Oktober 2034</c:v>
                </c:pt>
                <c:pt idx="118">
                  <c:v>November 2034</c:v>
                </c:pt>
                <c:pt idx="119">
                  <c:v>Desember 2034</c:v>
                </c:pt>
                <c:pt idx="120">
                  <c:v>Januar 2035</c:v>
                </c:pt>
                <c:pt idx="121">
                  <c:v>Februar 2035</c:v>
                </c:pt>
                <c:pt idx="122">
                  <c:v>Mars 2035</c:v>
                </c:pt>
                <c:pt idx="123">
                  <c:v>April 2035</c:v>
                </c:pt>
                <c:pt idx="124">
                  <c:v>Mai 2035</c:v>
                </c:pt>
                <c:pt idx="125">
                  <c:v>Juni 2035</c:v>
                </c:pt>
                <c:pt idx="126">
                  <c:v>Juli 2035</c:v>
                </c:pt>
                <c:pt idx="127">
                  <c:v>August 2035</c:v>
                </c:pt>
                <c:pt idx="128">
                  <c:v>September 2035</c:v>
                </c:pt>
                <c:pt idx="129">
                  <c:v>Oktober 2035</c:v>
                </c:pt>
                <c:pt idx="130">
                  <c:v>November 2035</c:v>
                </c:pt>
                <c:pt idx="131">
                  <c:v>Desember 2035</c:v>
                </c:pt>
                <c:pt idx="132">
                  <c:v>Januar 2036</c:v>
                </c:pt>
                <c:pt idx="133">
                  <c:v>Februar 2036</c:v>
                </c:pt>
                <c:pt idx="134">
                  <c:v>Mars 2036</c:v>
                </c:pt>
                <c:pt idx="135">
                  <c:v>April 2036</c:v>
                </c:pt>
                <c:pt idx="136">
                  <c:v>Mai 2036</c:v>
                </c:pt>
                <c:pt idx="137">
                  <c:v>Juni 2036</c:v>
                </c:pt>
                <c:pt idx="138">
                  <c:v>Juli 2036</c:v>
                </c:pt>
                <c:pt idx="139">
                  <c:v>August 2036</c:v>
                </c:pt>
                <c:pt idx="140">
                  <c:v>September 2036</c:v>
                </c:pt>
                <c:pt idx="141">
                  <c:v>Oktober 2036</c:v>
                </c:pt>
                <c:pt idx="142">
                  <c:v>November 2036</c:v>
                </c:pt>
                <c:pt idx="143">
                  <c:v>Desember 2036</c:v>
                </c:pt>
                <c:pt idx="144">
                  <c:v>Januar 2037</c:v>
                </c:pt>
                <c:pt idx="145">
                  <c:v>Februar 2037</c:v>
                </c:pt>
                <c:pt idx="146">
                  <c:v>Mars 2037</c:v>
                </c:pt>
                <c:pt idx="147">
                  <c:v>April 2037</c:v>
                </c:pt>
                <c:pt idx="148">
                  <c:v>Mai 2037</c:v>
                </c:pt>
                <c:pt idx="149">
                  <c:v>Juni 2037</c:v>
                </c:pt>
                <c:pt idx="150">
                  <c:v>Juli 2037</c:v>
                </c:pt>
                <c:pt idx="151">
                  <c:v>August 2037</c:v>
                </c:pt>
                <c:pt idx="152">
                  <c:v>September 2037</c:v>
                </c:pt>
                <c:pt idx="153">
                  <c:v>Oktober 2037</c:v>
                </c:pt>
                <c:pt idx="154">
                  <c:v>November 2037</c:v>
                </c:pt>
                <c:pt idx="155">
                  <c:v>Desember 2037</c:v>
                </c:pt>
                <c:pt idx="156">
                  <c:v>Januar 2038</c:v>
                </c:pt>
                <c:pt idx="157">
                  <c:v>Februar 2038</c:v>
                </c:pt>
                <c:pt idx="158">
                  <c:v>Mars 2038</c:v>
                </c:pt>
                <c:pt idx="159">
                  <c:v>April 2038</c:v>
                </c:pt>
                <c:pt idx="160">
                  <c:v>Mai 2038</c:v>
                </c:pt>
                <c:pt idx="161">
                  <c:v>Juni 2038</c:v>
                </c:pt>
                <c:pt idx="162">
                  <c:v>Juli 2038</c:v>
                </c:pt>
                <c:pt idx="163">
                  <c:v>August 2038</c:v>
                </c:pt>
                <c:pt idx="164">
                  <c:v>September 2038</c:v>
                </c:pt>
                <c:pt idx="165">
                  <c:v>Oktober 2038</c:v>
                </c:pt>
                <c:pt idx="166">
                  <c:v>November 2038</c:v>
                </c:pt>
                <c:pt idx="167">
                  <c:v>Desember 2038</c:v>
                </c:pt>
                <c:pt idx="168">
                  <c:v>Januar 2039</c:v>
                </c:pt>
                <c:pt idx="169">
                  <c:v>Februar 2039</c:v>
                </c:pt>
                <c:pt idx="170">
                  <c:v>Mars 2039</c:v>
                </c:pt>
                <c:pt idx="171">
                  <c:v>April 2039</c:v>
                </c:pt>
                <c:pt idx="172">
                  <c:v>Mai 2039</c:v>
                </c:pt>
                <c:pt idx="173">
                  <c:v>Juni 2039</c:v>
                </c:pt>
                <c:pt idx="174">
                  <c:v>Juli 2039</c:v>
                </c:pt>
                <c:pt idx="175">
                  <c:v>August 2039</c:v>
                </c:pt>
                <c:pt idx="176">
                  <c:v>September 2039</c:v>
                </c:pt>
                <c:pt idx="177">
                  <c:v>Oktober 2039</c:v>
                </c:pt>
                <c:pt idx="178">
                  <c:v>November 2039</c:v>
                </c:pt>
                <c:pt idx="179">
                  <c:v>Desember 2039</c:v>
                </c:pt>
                <c:pt idx="180">
                  <c:v>Januar 2040</c:v>
                </c:pt>
                <c:pt idx="181">
                  <c:v>Februar 2040</c:v>
                </c:pt>
                <c:pt idx="182">
                  <c:v>Mars 2040</c:v>
                </c:pt>
                <c:pt idx="183">
                  <c:v>April 2040</c:v>
                </c:pt>
                <c:pt idx="184">
                  <c:v>Mai 2040</c:v>
                </c:pt>
                <c:pt idx="185">
                  <c:v>Juni 2040</c:v>
                </c:pt>
                <c:pt idx="186">
                  <c:v>Juli 2040</c:v>
                </c:pt>
                <c:pt idx="187">
                  <c:v>August 2040</c:v>
                </c:pt>
                <c:pt idx="188">
                  <c:v>September 2040</c:v>
                </c:pt>
                <c:pt idx="189">
                  <c:v>Oktober 2040</c:v>
                </c:pt>
                <c:pt idx="190">
                  <c:v>November 2040</c:v>
                </c:pt>
                <c:pt idx="191">
                  <c:v>Desember 2040</c:v>
                </c:pt>
                <c:pt idx="192">
                  <c:v>Januar 2041</c:v>
                </c:pt>
                <c:pt idx="193">
                  <c:v>Februar 2041</c:v>
                </c:pt>
                <c:pt idx="194">
                  <c:v>Mars 2041</c:v>
                </c:pt>
                <c:pt idx="195">
                  <c:v>April 2041</c:v>
                </c:pt>
                <c:pt idx="196">
                  <c:v>Mai 2041</c:v>
                </c:pt>
                <c:pt idx="197">
                  <c:v>Juni 2041</c:v>
                </c:pt>
                <c:pt idx="198">
                  <c:v>Juli 2041</c:v>
                </c:pt>
                <c:pt idx="199">
                  <c:v>August 2041</c:v>
                </c:pt>
                <c:pt idx="200">
                  <c:v>September 2041</c:v>
                </c:pt>
                <c:pt idx="201">
                  <c:v>Oktober 2041</c:v>
                </c:pt>
                <c:pt idx="202">
                  <c:v>November 2041</c:v>
                </c:pt>
                <c:pt idx="203">
                  <c:v>Desember 2041</c:v>
                </c:pt>
                <c:pt idx="204">
                  <c:v>Januar 2042</c:v>
                </c:pt>
                <c:pt idx="205">
                  <c:v>Februar 2042</c:v>
                </c:pt>
                <c:pt idx="206">
                  <c:v>Mars 2042</c:v>
                </c:pt>
                <c:pt idx="207">
                  <c:v>April 2042</c:v>
                </c:pt>
                <c:pt idx="208">
                  <c:v>Mai 2042</c:v>
                </c:pt>
                <c:pt idx="209">
                  <c:v>Juni 2042</c:v>
                </c:pt>
                <c:pt idx="210">
                  <c:v>Juli 2042</c:v>
                </c:pt>
                <c:pt idx="211">
                  <c:v>August 2042</c:v>
                </c:pt>
                <c:pt idx="212">
                  <c:v>September 2042</c:v>
                </c:pt>
                <c:pt idx="213">
                  <c:v>Oktober 2042</c:v>
                </c:pt>
                <c:pt idx="214">
                  <c:v>November 2042</c:v>
                </c:pt>
                <c:pt idx="215">
                  <c:v>Desember 2042</c:v>
                </c:pt>
                <c:pt idx="216">
                  <c:v>Januar 2043</c:v>
                </c:pt>
                <c:pt idx="217">
                  <c:v>Februar 2043</c:v>
                </c:pt>
                <c:pt idx="218">
                  <c:v>Mars 2043</c:v>
                </c:pt>
                <c:pt idx="219">
                  <c:v>April 2043</c:v>
                </c:pt>
                <c:pt idx="220">
                  <c:v>Mai 2043</c:v>
                </c:pt>
                <c:pt idx="221">
                  <c:v>Juni 2043</c:v>
                </c:pt>
                <c:pt idx="222">
                  <c:v>Juli 2043</c:v>
                </c:pt>
                <c:pt idx="223">
                  <c:v>August 2043</c:v>
                </c:pt>
                <c:pt idx="224">
                  <c:v>September 2043</c:v>
                </c:pt>
                <c:pt idx="225">
                  <c:v>Oktober 2043</c:v>
                </c:pt>
                <c:pt idx="226">
                  <c:v>November 2043</c:v>
                </c:pt>
                <c:pt idx="227">
                  <c:v>Desember 2043</c:v>
                </c:pt>
                <c:pt idx="228">
                  <c:v>Januar 2044</c:v>
                </c:pt>
                <c:pt idx="229">
                  <c:v>Februar 2044</c:v>
                </c:pt>
                <c:pt idx="230">
                  <c:v>Mars 2044</c:v>
                </c:pt>
                <c:pt idx="231">
                  <c:v>April 2044</c:v>
                </c:pt>
                <c:pt idx="232">
                  <c:v>Mai 2044</c:v>
                </c:pt>
                <c:pt idx="233">
                  <c:v>Juni 2044</c:v>
                </c:pt>
                <c:pt idx="234">
                  <c:v>Juli 2044</c:v>
                </c:pt>
                <c:pt idx="235">
                  <c:v>August 2044</c:v>
                </c:pt>
                <c:pt idx="236">
                  <c:v>September 2044</c:v>
                </c:pt>
                <c:pt idx="237">
                  <c:v>Oktober 2044</c:v>
                </c:pt>
                <c:pt idx="238">
                  <c:v>November 2044</c:v>
                </c:pt>
                <c:pt idx="239">
                  <c:v>Desember 2044</c:v>
                </c:pt>
                <c:pt idx="240">
                  <c:v>Januar 2045</c:v>
                </c:pt>
                <c:pt idx="241">
                  <c:v>Februar 2045</c:v>
                </c:pt>
                <c:pt idx="242">
                  <c:v>Mars 2045</c:v>
                </c:pt>
                <c:pt idx="243">
                  <c:v>April 2045</c:v>
                </c:pt>
                <c:pt idx="244">
                  <c:v>Mai 2045</c:v>
                </c:pt>
                <c:pt idx="245">
                  <c:v>Juni 2045</c:v>
                </c:pt>
                <c:pt idx="246">
                  <c:v>Juli 2045</c:v>
                </c:pt>
                <c:pt idx="247">
                  <c:v>August 2045</c:v>
                </c:pt>
                <c:pt idx="248">
                  <c:v>September 2045</c:v>
                </c:pt>
                <c:pt idx="249">
                  <c:v>Oktober 2045</c:v>
                </c:pt>
                <c:pt idx="250">
                  <c:v>November 2045</c:v>
                </c:pt>
                <c:pt idx="251">
                  <c:v>Desember 2045</c:v>
                </c:pt>
                <c:pt idx="252">
                  <c:v>Januar 2046</c:v>
                </c:pt>
                <c:pt idx="253">
                  <c:v>Februar 2046</c:v>
                </c:pt>
                <c:pt idx="254">
                  <c:v>Mars 2046</c:v>
                </c:pt>
                <c:pt idx="255">
                  <c:v>April 2046</c:v>
                </c:pt>
                <c:pt idx="256">
                  <c:v>Mai 2046</c:v>
                </c:pt>
                <c:pt idx="257">
                  <c:v>Juni 2046</c:v>
                </c:pt>
                <c:pt idx="258">
                  <c:v>Juli 2046</c:v>
                </c:pt>
                <c:pt idx="259">
                  <c:v>August 2046</c:v>
                </c:pt>
                <c:pt idx="260">
                  <c:v>September 2046</c:v>
                </c:pt>
                <c:pt idx="261">
                  <c:v>Oktober 2046</c:v>
                </c:pt>
                <c:pt idx="262">
                  <c:v>November 2046</c:v>
                </c:pt>
                <c:pt idx="263">
                  <c:v>Desember 2046</c:v>
                </c:pt>
                <c:pt idx="264">
                  <c:v>Januar 2047</c:v>
                </c:pt>
                <c:pt idx="265">
                  <c:v>Februar 2047</c:v>
                </c:pt>
                <c:pt idx="266">
                  <c:v>Mars 2047</c:v>
                </c:pt>
                <c:pt idx="267">
                  <c:v>April 2047</c:v>
                </c:pt>
                <c:pt idx="268">
                  <c:v>Mai 2047</c:v>
                </c:pt>
                <c:pt idx="269">
                  <c:v>Juni 2047</c:v>
                </c:pt>
                <c:pt idx="270">
                  <c:v>Juli 2047</c:v>
                </c:pt>
                <c:pt idx="271">
                  <c:v>August 2047</c:v>
                </c:pt>
                <c:pt idx="272">
                  <c:v>September 2047</c:v>
                </c:pt>
                <c:pt idx="273">
                  <c:v>Oktober 2047</c:v>
                </c:pt>
                <c:pt idx="274">
                  <c:v>November 2047</c:v>
                </c:pt>
                <c:pt idx="275">
                  <c:v>Desember 2047</c:v>
                </c:pt>
                <c:pt idx="276">
                  <c:v>Januar 2048</c:v>
                </c:pt>
                <c:pt idx="277">
                  <c:v>Februar 2048</c:v>
                </c:pt>
                <c:pt idx="278">
                  <c:v>Mars 2048</c:v>
                </c:pt>
                <c:pt idx="279">
                  <c:v>April 2048</c:v>
                </c:pt>
                <c:pt idx="280">
                  <c:v>Mai 2048</c:v>
                </c:pt>
                <c:pt idx="281">
                  <c:v>Juni 2048</c:v>
                </c:pt>
                <c:pt idx="282">
                  <c:v>Juli 2048</c:v>
                </c:pt>
                <c:pt idx="283">
                  <c:v>August 2048</c:v>
                </c:pt>
                <c:pt idx="284">
                  <c:v>September 2048</c:v>
                </c:pt>
                <c:pt idx="285">
                  <c:v>Oktober 2048</c:v>
                </c:pt>
                <c:pt idx="286">
                  <c:v>November 2048</c:v>
                </c:pt>
                <c:pt idx="287">
                  <c:v>Desember 2048</c:v>
                </c:pt>
                <c:pt idx="288">
                  <c:v>Januar 2049</c:v>
                </c:pt>
                <c:pt idx="289">
                  <c:v>Februar 2049</c:v>
                </c:pt>
                <c:pt idx="290">
                  <c:v>Mars 2049</c:v>
                </c:pt>
                <c:pt idx="291">
                  <c:v>April 2049</c:v>
                </c:pt>
                <c:pt idx="292">
                  <c:v>Mai 2049</c:v>
                </c:pt>
                <c:pt idx="293">
                  <c:v>Juni 2049</c:v>
                </c:pt>
                <c:pt idx="294">
                  <c:v>Juli 2049</c:v>
                </c:pt>
                <c:pt idx="295">
                  <c:v>August 2049</c:v>
                </c:pt>
                <c:pt idx="296">
                  <c:v>September 2049</c:v>
                </c:pt>
                <c:pt idx="297">
                  <c:v>Oktober 2049</c:v>
                </c:pt>
                <c:pt idx="298">
                  <c:v>November 2049</c:v>
                </c:pt>
                <c:pt idx="299">
                  <c:v>Desember 2049</c:v>
                </c:pt>
                <c:pt idx="300">
                  <c:v>Januar 2050</c:v>
                </c:pt>
                <c:pt idx="301">
                  <c:v>Februar 2050</c:v>
                </c:pt>
                <c:pt idx="302">
                  <c:v>Mars 2050</c:v>
                </c:pt>
                <c:pt idx="303">
                  <c:v>April 2050</c:v>
                </c:pt>
                <c:pt idx="304">
                  <c:v>Mai 2050</c:v>
                </c:pt>
                <c:pt idx="305">
                  <c:v>Juni 2050</c:v>
                </c:pt>
                <c:pt idx="306">
                  <c:v>Juli 2050</c:v>
                </c:pt>
                <c:pt idx="307">
                  <c:v>August 2050</c:v>
                </c:pt>
                <c:pt idx="308">
                  <c:v>September 2050</c:v>
                </c:pt>
                <c:pt idx="309">
                  <c:v>Oktober 2050</c:v>
                </c:pt>
                <c:pt idx="310">
                  <c:v>November 2050</c:v>
                </c:pt>
                <c:pt idx="311">
                  <c:v>Desember 2050</c:v>
                </c:pt>
                <c:pt idx="312">
                  <c:v>Januar 2051</c:v>
                </c:pt>
                <c:pt idx="313">
                  <c:v>Februar 2051</c:v>
                </c:pt>
                <c:pt idx="314">
                  <c:v>Mars 2051</c:v>
                </c:pt>
                <c:pt idx="315">
                  <c:v>April 2051</c:v>
                </c:pt>
                <c:pt idx="316">
                  <c:v>Mai 2051</c:v>
                </c:pt>
                <c:pt idx="317">
                  <c:v>Juni 2051</c:v>
                </c:pt>
                <c:pt idx="318">
                  <c:v>Juli 2051</c:v>
                </c:pt>
                <c:pt idx="319">
                  <c:v>August 2051</c:v>
                </c:pt>
                <c:pt idx="320">
                  <c:v>September 2051</c:v>
                </c:pt>
                <c:pt idx="321">
                  <c:v>Oktober 2051</c:v>
                </c:pt>
                <c:pt idx="322">
                  <c:v>November 2051</c:v>
                </c:pt>
                <c:pt idx="323">
                  <c:v>Desember 2051</c:v>
                </c:pt>
                <c:pt idx="324">
                  <c:v>Januar 2052</c:v>
                </c:pt>
                <c:pt idx="325">
                  <c:v>Februar 2052</c:v>
                </c:pt>
                <c:pt idx="326">
                  <c:v>Mars 2052</c:v>
                </c:pt>
                <c:pt idx="327">
                  <c:v>April 2052</c:v>
                </c:pt>
                <c:pt idx="328">
                  <c:v>Mai 2052</c:v>
                </c:pt>
                <c:pt idx="329">
                  <c:v>Juni 2052</c:v>
                </c:pt>
                <c:pt idx="330">
                  <c:v>Juli 2052</c:v>
                </c:pt>
                <c:pt idx="331">
                  <c:v>August 2052</c:v>
                </c:pt>
                <c:pt idx="332">
                  <c:v>September 2052</c:v>
                </c:pt>
                <c:pt idx="333">
                  <c:v>Oktober 2052</c:v>
                </c:pt>
                <c:pt idx="334">
                  <c:v>November 2052</c:v>
                </c:pt>
                <c:pt idx="335">
                  <c:v>Desember 2052</c:v>
                </c:pt>
                <c:pt idx="336">
                  <c:v>Januar 2053</c:v>
                </c:pt>
                <c:pt idx="337">
                  <c:v>Februar 2053</c:v>
                </c:pt>
                <c:pt idx="338">
                  <c:v>Mars 2053</c:v>
                </c:pt>
                <c:pt idx="339">
                  <c:v>April 2053</c:v>
                </c:pt>
                <c:pt idx="340">
                  <c:v>Mai 2053</c:v>
                </c:pt>
                <c:pt idx="341">
                  <c:v>Juni 2053</c:v>
                </c:pt>
                <c:pt idx="342">
                  <c:v>Juli 2053</c:v>
                </c:pt>
                <c:pt idx="343">
                  <c:v>August 2053</c:v>
                </c:pt>
                <c:pt idx="344">
                  <c:v>September 2053</c:v>
                </c:pt>
                <c:pt idx="345">
                  <c:v>Oktober 2053</c:v>
                </c:pt>
                <c:pt idx="346">
                  <c:v>November 2053</c:v>
                </c:pt>
                <c:pt idx="347">
                  <c:v>Desember 2053</c:v>
                </c:pt>
                <c:pt idx="348">
                  <c:v>Januar 2054</c:v>
                </c:pt>
                <c:pt idx="349">
                  <c:v>Februar 2054</c:v>
                </c:pt>
                <c:pt idx="350">
                  <c:v>Mars 2054</c:v>
                </c:pt>
                <c:pt idx="351">
                  <c:v>April 2054</c:v>
                </c:pt>
                <c:pt idx="352">
                  <c:v>Mai 2054</c:v>
                </c:pt>
                <c:pt idx="353">
                  <c:v>Juni 2054</c:v>
                </c:pt>
                <c:pt idx="354">
                  <c:v>Juli 2054</c:v>
                </c:pt>
                <c:pt idx="355">
                  <c:v>August 2054</c:v>
                </c:pt>
                <c:pt idx="356">
                  <c:v>September 2054</c:v>
                </c:pt>
                <c:pt idx="357">
                  <c:v>Oktober 2054</c:v>
                </c:pt>
                <c:pt idx="358">
                  <c:v>November 2054</c:v>
                </c:pt>
                <c:pt idx="359">
                  <c:v>Desember 2054</c:v>
                </c:pt>
              </c:strCache>
            </c:strRef>
          </c:cat>
          <c:val>
            <c:numRef>
              <c:f>'Dynamisk plan'!$Z$18:$Z$377</c:f>
              <c:numCache>
                <c:formatCode>[$kr-414]\ #,##0;\-[$kr-414]\ #,##0</c:formatCode>
                <c:ptCount val="360"/>
                <c:pt idx="0">
                  <c:v>2551634.387820513</c:v>
                </c:pt>
                <c:pt idx="1">
                  <c:v>2543429.775641026</c:v>
                </c:pt>
                <c:pt idx="2">
                  <c:v>2535225.1634615385</c:v>
                </c:pt>
                <c:pt idx="3">
                  <c:v>2527020.5512820515</c:v>
                </c:pt>
                <c:pt idx="4">
                  <c:v>2518815.9391025645</c:v>
                </c:pt>
                <c:pt idx="5">
                  <c:v>2510611.326923077</c:v>
                </c:pt>
                <c:pt idx="6">
                  <c:v>2502406.71474359</c:v>
                </c:pt>
                <c:pt idx="7">
                  <c:v>2494202.1025641025</c:v>
                </c:pt>
                <c:pt idx="8">
                  <c:v>2485997.4903846155</c:v>
                </c:pt>
                <c:pt idx="9">
                  <c:v>2477792.8782051285</c:v>
                </c:pt>
                <c:pt idx="10">
                  <c:v>2469588.266025641</c:v>
                </c:pt>
                <c:pt idx="11">
                  <c:v>2461383.653846154</c:v>
                </c:pt>
                <c:pt idx="12">
                  <c:v>2453179.041666667</c:v>
                </c:pt>
                <c:pt idx="13">
                  <c:v>2444974.4294871795</c:v>
                </c:pt>
                <c:pt idx="14">
                  <c:v>2436769.8173076925</c:v>
                </c:pt>
                <c:pt idx="15">
                  <c:v>2428565.2051282055</c:v>
                </c:pt>
                <c:pt idx="16">
                  <c:v>2420360.592948718</c:v>
                </c:pt>
                <c:pt idx="17">
                  <c:v>2412155.980769231</c:v>
                </c:pt>
                <c:pt idx="18">
                  <c:v>2403951.368589744</c:v>
                </c:pt>
                <c:pt idx="19">
                  <c:v>2395746.7564102565</c:v>
                </c:pt>
                <c:pt idx="20">
                  <c:v>2387542.1442307695</c:v>
                </c:pt>
                <c:pt idx="21">
                  <c:v>2379337.532051282</c:v>
                </c:pt>
                <c:pt idx="22">
                  <c:v>2371132.919871795</c:v>
                </c:pt>
                <c:pt idx="23">
                  <c:v>2362928.307692308</c:v>
                </c:pt>
                <c:pt idx="24">
                  <c:v>2354723.6955128205</c:v>
                </c:pt>
                <c:pt idx="25">
                  <c:v>2346519.0833333335</c:v>
                </c:pt>
                <c:pt idx="26">
                  <c:v>2338314.4711538465</c:v>
                </c:pt>
                <c:pt idx="27">
                  <c:v>2330109.858974359</c:v>
                </c:pt>
                <c:pt idx="28">
                  <c:v>2321905.246794872</c:v>
                </c:pt>
                <c:pt idx="29">
                  <c:v>2313700.634615385</c:v>
                </c:pt>
                <c:pt idx="30">
                  <c:v>2305496.0224358975</c:v>
                </c:pt>
                <c:pt idx="31">
                  <c:v>2297291.4102564105</c:v>
                </c:pt>
                <c:pt idx="32">
                  <c:v>2289086.798076923</c:v>
                </c:pt>
                <c:pt idx="33">
                  <c:v>2280882.185897436</c:v>
                </c:pt>
                <c:pt idx="34">
                  <c:v>2272677.573717949</c:v>
                </c:pt>
                <c:pt idx="35">
                  <c:v>2264472.9615384615</c:v>
                </c:pt>
                <c:pt idx="36">
                  <c:v>2256268.3493589745</c:v>
                </c:pt>
                <c:pt idx="37">
                  <c:v>2248063.7371794875</c:v>
                </c:pt>
                <c:pt idx="38">
                  <c:v>2239859.125</c:v>
                </c:pt>
                <c:pt idx="39">
                  <c:v>2231654.512820513</c:v>
                </c:pt>
                <c:pt idx="40">
                  <c:v>2223449.900641026</c:v>
                </c:pt>
                <c:pt idx="41">
                  <c:v>2215245.2884615385</c:v>
                </c:pt>
                <c:pt idx="42">
                  <c:v>2207040.6762820515</c:v>
                </c:pt>
                <c:pt idx="43">
                  <c:v>2198836.0641025645</c:v>
                </c:pt>
                <c:pt idx="44">
                  <c:v>2190631.451923077</c:v>
                </c:pt>
                <c:pt idx="45">
                  <c:v>2182426.83974359</c:v>
                </c:pt>
                <c:pt idx="46">
                  <c:v>2174222.2275641025</c:v>
                </c:pt>
                <c:pt idx="47">
                  <c:v>2166017.6153846155</c:v>
                </c:pt>
                <c:pt idx="48">
                  <c:v>2157813.0032051285</c:v>
                </c:pt>
                <c:pt idx="49">
                  <c:v>2149608.391025641</c:v>
                </c:pt>
                <c:pt idx="50">
                  <c:v>2141403.778846154</c:v>
                </c:pt>
                <c:pt idx="51">
                  <c:v>2133199.166666667</c:v>
                </c:pt>
                <c:pt idx="52">
                  <c:v>2124994.5544871795</c:v>
                </c:pt>
                <c:pt idx="53">
                  <c:v>2116789.9423076925</c:v>
                </c:pt>
                <c:pt idx="54">
                  <c:v>2108585.3301282055</c:v>
                </c:pt>
                <c:pt idx="55">
                  <c:v>2100380.717948718</c:v>
                </c:pt>
                <c:pt idx="56">
                  <c:v>2092176.105769231</c:v>
                </c:pt>
                <c:pt idx="57">
                  <c:v>2083971.493589744</c:v>
                </c:pt>
                <c:pt idx="58">
                  <c:v>2075766.8814102567</c:v>
                </c:pt>
                <c:pt idx="59">
                  <c:v>2067562.2692307697</c:v>
                </c:pt>
                <c:pt idx="60">
                  <c:v>2059357.6570512825</c:v>
                </c:pt>
                <c:pt idx="61">
                  <c:v>2051153.0448717952</c:v>
                </c:pt>
                <c:pt idx="62">
                  <c:v>2042948.432692308</c:v>
                </c:pt>
                <c:pt idx="63">
                  <c:v>2034743.820512821</c:v>
                </c:pt>
                <c:pt idx="64">
                  <c:v>2026539.2083333337</c:v>
                </c:pt>
                <c:pt idx="65">
                  <c:v>2018334.5961538465</c:v>
                </c:pt>
                <c:pt idx="66">
                  <c:v>2010129.9839743595</c:v>
                </c:pt>
                <c:pt idx="67">
                  <c:v>2001925.3717948722</c:v>
                </c:pt>
                <c:pt idx="68">
                  <c:v>1993720.759615385</c:v>
                </c:pt>
                <c:pt idx="69">
                  <c:v>1985516.1474358977</c:v>
                </c:pt>
                <c:pt idx="70">
                  <c:v>1977311.5352564107</c:v>
                </c:pt>
                <c:pt idx="71">
                  <c:v>1969106.9230769235</c:v>
                </c:pt>
                <c:pt idx="72">
                  <c:v>1960902.3108974362</c:v>
                </c:pt>
                <c:pt idx="73">
                  <c:v>1952697.6987179492</c:v>
                </c:pt>
                <c:pt idx="74">
                  <c:v>1944493.086538462</c:v>
                </c:pt>
                <c:pt idx="75">
                  <c:v>1936288.4743589747</c:v>
                </c:pt>
                <c:pt idx="76">
                  <c:v>1928083.8621794875</c:v>
                </c:pt>
                <c:pt idx="77">
                  <c:v>1919879.2500000005</c:v>
                </c:pt>
                <c:pt idx="78">
                  <c:v>1911674.6378205132</c:v>
                </c:pt>
                <c:pt idx="79">
                  <c:v>1903470.025641026</c:v>
                </c:pt>
                <c:pt idx="80">
                  <c:v>1895265.413461539</c:v>
                </c:pt>
                <c:pt idx="81">
                  <c:v>1887060.8012820517</c:v>
                </c:pt>
                <c:pt idx="82">
                  <c:v>1878856.1891025645</c:v>
                </c:pt>
                <c:pt idx="83">
                  <c:v>1870651.5769230772</c:v>
                </c:pt>
                <c:pt idx="84">
                  <c:v>1862446.9647435902</c:v>
                </c:pt>
                <c:pt idx="85">
                  <c:v>1854242.352564103</c:v>
                </c:pt>
                <c:pt idx="86">
                  <c:v>1846037.7403846157</c:v>
                </c:pt>
                <c:pt idx="87">
                  <c:v>1837833.1282051287</c:v>
                </c:pt>
                <c:pt idx="88">
                  <c:v>1829628.5160256415</c:v>
                </c:pt>
                <c:pt idx="89">
                  <c:v>1821423.9038461542</c:v>
                </c:pt>
                <c:pt idx="90">
                  <c:v>1813219.291666667</c:v>
                </c:pt>
                <c:pt idx="91">
                  <c:v>1805014.67948718</c:v>
                </c:pt>
                <c:pt idx="92">
                  <c:v>1796810.0673076927</c:v>
                </c:pt>
                <c:pt idx="93">
                  <c:v>1788605.4551282055</c:v>
                </c:pt>
                <c:pt idx="94">
                  <c:v>1780400.8429487182</c:v>
                </c:pt>
                <c:pt idx="95">
                  <c:v>1772196.2307692312</c:v>
                </c:pt>
                <c:pt idx="96">
                  <c:v>1763991.618589744</c:v>
                </c:pt>
                <c:pt idx="97">
                  <c:v>1755787.0064102567</c:v>
                </c:pt>
                <c:pt idx="98">
                  <c:v>1747582.3942307697</c:v>
                </c:pt>
                <c:pt idx="99">
                  <c:v>1739377.7820512825</c:v>
                </c:pt>
                <c:pt idx="100">
                  <c:v>1731173.1698717952</c:v>
                </c:pt>
                <c:pt idx="101">
                  <c:v>1722968.557692308</c:v>
                </c:pt>
                <c:pt idx="102">
                  <c:v>1714763.945512821</c:v>
                </c:pt>
                <c:pt idx="103">
                  <c:v>1706559.3333333337</c:v>
                </c:pt>
                <c:pt idx="104">
                  <c:v>1698354.7211538465</c:v>
                </c:pt>
                <c:pt idx="105">
                  <c:v>1690150.1089743595</c:v>
                </c:pt>
                <c:pt idx="106">
                  <c:v>1681945.4967948722</c:v>
                </c:pt>
                <c:pt idx="107">
                  <c:v>1673740.884615385</c:v>
                </c:pt>
                <c:pt idx="108">
                  <c:v>1665536.2724358977</c:v>
                </c:pt>
                <c:pt idx="109">
                  <c:v>1657331.6602564107</c:v>
                </c:pt>
                <c:pt idx="110">
                  <c:v>1649127.0480769235</c:v>
                </c:pt>
                <c:pt idx="111">
                  <c:v>1640922.4358974362</c:v>
                </c:pt>
                <c:pt idx="112">
                  <c:v>1632717.8237179492</c:v>
                </c:pt>
                <c:pt idx="113">
                  <c:v>1624513.211538462</c:v>
                </c:pt>
                <c:pt idx="114">
                  <c:v>1616308.5993589747</c:v>
                </c:pt>
                <c:pt idx="115">
                  <c:v>1608103.9871794875</c:v>
                </c:pt>
                <c:pt idx="116">
                  <c:v>1599899.3750000005</c:v>
                </c:pt>
                <c:pt idx="117">
                  <c:v>1591694.7628205132</c:v>
                </c:pt>
                <c:pt idx="118">
                  <c:v>1583490.150641026</c:v>
                </c:pt>
                <c:pt idx="119">
                  <c:v>1575285.538461539</c:v>
                </c:pt>
                <c:pt idx="120">
                  <c:v>1567080.9262820517</c:v>
                </c:pt>
                <c:pt idx="121">
                  <c:v>1558876.3141025645</c:v>
                </c:pt>
                <c:pt idx="122">
                  <c:v>1550671.7019230772</c:v>
                </c:pt>
                <c:pt idx="123">
                  <c:v>1542467.0897435902</c:v>
                </c:pt>
                <c:pt idx="124">
                  <c:v>1534262.477564103</c:v>
                </c:pt>
                <c:pt idx="125">
                  <c:v>1526057.8653846157</c:v>
                </c:pt>
                <c:pt idx="126">
                  <c:v>1517853.2532051287</c:v>
                </c:pt>
                <c:pt idx="127">
                  <c:v>1509648.6410256415</c:v>
                </c:pt>
                <c:pt idx="128">
                  <c:v>1501444.0288461542</c:v>
                </c:pt>
                <c:pt idx="129">
                  <c:v>1493239.416666667</c:v>
                </c:pt>
                <c:pt idx="130">
                  <c:v>1485034.80448718</c:v>
                </c:pt>
                <c:pt idx="131">
                  <c:v>1476830.1923076927</c:v>
                </c:pt>
                <c:pt idx="132">
                  <c:v>1468625.5801282055</c:v>
                </c:pt>
                <c:pt idx="133">
                  <c:v>1460420.9679487182</c:v>
                </c:pt>
                <c:pt idx="134">
                  <c:v>1452216.3557692312</c:v>
                </c:pt>
                <c:pt idx="135">
                  <c:v>1444011.743589744</c:v>
                </c:pt>
                <c:pt idx="136">
                  <c:v>1435807.1314102567</c:v>
                </c:pt>
                <c:pt idx="137">
                  <c:v>1427602.5192307697</c:v>
                </c:pt>
                <c:pt idx="138">
                  <c:v>1419397.9070512825</c:v>
                </c:pt>
                <c:pt idx="139">
                  <c:v>1411193.2948717952</c:v>
                </c:pt>
                <c:pt idx="140">
                  <c:v>1402988.682692308</c:v>
                </c:pt>
                <c:pt idx="141">
                  <c:v>1394784.070512821</c:v>
                </c:pt>
                <c:pt idx="142">
                  <c:v>1386579.4583333337</c:v>
                </c:pt>
                <c:pt idx="143">
                  <c:v>1378374.8461538465</c:v>
                </c:pt>
                <c:pt idx="144">
                  <c:v>1370170.2339743595</c:v>
                </c:pt>
                <c:pt idx="145">
                  <c:v>1361965.6217948722</c:v>
                </c:pt>
                <c:pt idx="146">
                  <c:v>1353761.009615385</c:v>
                </c:pt>
                <c:pt idx="147">
                  <c:v>1345556.3974358977</c:v>
                </c:pt>
                <c:pt idx="148">
                  <c:v>1337351.7852564107</c:v>
                </c:pt>
                <c:pt idx="149">
                  <c:v>1329147.1730769235</c:v>
                </c:pt>
                <c:pt idx="150">
                  <c:v>1320942.5608974362</c:v>
                </c:pt>
                <c:pt idx="151">
                  <c:v>1312737.9487179492</c:v>
                </c:pt>
                <c:pt idx="152">
                  <c:v>1304533.336538462</c:v>
                </c:pt>
                <c:pt idx="153">
                  <c:v>1296328.7243589747</c:v>
                </c:pt>
                <c:pt idx="154">
                  <c:v>1288124.1121794875</c:v>
                </c:pt>
                <c:pt idx="155">
                  <c:v>1279919.5000000005</c:v>
                </c:pt>
                <c:pt idx="156">
                  <c:v>1271714.8878205132</c:v>
                </c:pt>
                <c:pt idx="157">
                  <c:v>1263510.275641026</c:v>
                </c:pt>
                <c:pt idx="158">
                  <c:v>1255305.663461539</c:v>
                </c:pt>
                <c:pt idx="159">
                  <c:v>1247101.0512820517</c:v>
                </c:pt>
                <c:pt idx="160">
                  <c:v>1238896.4391025645</c:v>
                </c:pt>
                <c:pt idx="161">
                  <c:v>1230691.8269230772</c:v>
                </c:pt>
                <c:pt idx="162">
                  <c:v>1222487.2147435902</c:v>
                </c:pt>
                <c:pt idx="163">
                  <c:v>1214282.602564103</c:v>
                </c:pt>
                <c:pt idx="164">
                  <c:v>1206077.9903846157</c:v>
                </c:pt>
                <c:pt idx="165">
                  <c:v>1197873.3782051287</c:v>
                </c:pt>
                <c:pt idx="166">
                  <c:v>1189668.7660256415</c:v>
                </c:pt>
                <c:pt idx="167">
                  <c:v>1181464.1538461542</c:v>
                </c:pt>
                <c:pt idx="168">
                  <c:v>1173259.541666667</c:v>
                </c:pt>
                <c:pt idx="169">
                  <c:v>1165054.92948718</c:v>
                </c:pt>
                <c:pt idx="170">
                  <c:v>1156850.3173076927</c:v>
                </c:pt>
                <c:pt idx="171">
                  <c:v>1148645.7051282055</c:v>
                </c:pt>
                <c:pt idx="172">
                  <c:v>1140441.0929487182</c:v>
                </c:pt>
                <c:pt idx="173">
                  <c:v>1132236.480769231</c:v>
                </c:pt>
                <c:pt idx="174">
                  <c:v>1124031.8685897437</c:v>
                </c:pt>
                <c:pt idx="175">
                  <c:v>1115827.2564102565</c:v>
                </c:pt>
                <c:pt idx="176">
                  <c:v>1107622.6442307695</c:v>
                </c:pt>
                <c:pt idx="177">
                  <c:v>1099418.0320512822</c:v>
                </c:pt>
                <c:pt idx="178">
                  <c:v>1091213.419871795</c:v>
                </c:pt>
                <c:pt idx="179">
                  <c:v>1083008.8076923077</c:v>
                </c:pt>
                <c:pt idx="180">
                  <c:v>1074804.1955128207</c:v>
                </c:pt>
                <c:pt idx="181">
                  <c:v>1066599.5833333335</c:v>
                </c:pt>
                <c:pt idx="182">
                  <c:v>1058394.9711538462</c:v>
                </c:pt>
                <c:pt idx="183">
                  <c:v>1050190.3589743592</c:v>
                </c:pt>
                <c:pt idx="184">
                  <c:v>1041985.7467948721</c:v>
                </c:pt>
                <c:pt idx="185">
                  <c:v>1033781.1346153849</c:v>
                </c:pt>
                <c:pt idx="186">
                  <c:v>1025576.5224358977</c:v>
                </c:pt>
                <c:pt idx="187">
                  <c:v>1017371.9102564105</c:v>
                </c:pt>
                <c:pt idx="188">
                  <c:v>1009167.2980769234</c:v>
                </c:pt>
                <c:pt idx="189">
                  <c:v>1000962.6858974362</c:v>
                </c:pt>
                <c:pt idx="190">
                  <c:v>992758.07371794898</c:v>
                </c:pt>
                <c:pt idx="191">
                  <c:v>984553.46153846185</c:v>
                </c:pt>
                <c:pt idx="192">
                  <c:v>976348.84935897461</c:v>
                </c:pt>
                <c:pt idx="193">
                  <c:v>968144.23717948748</c:v>
                </c:pt>
                <c:pt idx="194">
                  <c:v>959939.62500000023</c:v>
                </c:pt>
                <c:pt idx="195">
                  <c:v>951735.0128205131</c:v>
                </c:pt>
                <c:pt idx="196">
                  <c:v>943530.40064102598</c:v>
                </c:pt>
                <c:pt idx="197">
                  <c:v>935325.78846153873</c:v>
                </c:pt>
                <c:pt idx="198">
                  <c:v>927121.1762820516</c:v>
                </c:pt>
                <c:pt idx="199">
                  <c:v>918916.56410256436</c:v>
                </c:pt>
                <c:pt idx="200">
                  <c:v>910711.95192307723</c:v>
                </c:pt>
                <c:pt idx="201">
                  <c:v>902507.33974358998</c:v>
                </c:pt>
                <c:pt idx="202">
                  <c:v>894302.72756410285</c:v>
                </c:pt>
                <c:pt idx="203">
                  <c:v>886098.11538461561</c:v>
                </c:pt>
                <c:pt idx="204">
                  <c:v>877893.50320512848</c:v>
                </c:pt>
                <c:pt idx="205">
                  <c:v>869688.89102564135</c:v>
                </c:pt>
                <c:pt idx="206">
                  <c:v>861484.27884615411</c:v>
                </c:pt>
                <c:pt idx="207">
                  <c:v>853279.66666666698</c:v>
                </c:pt>
                <c:pt idx="208">
                  <c:v>845075.05448717973</c:v>
                </c:pt>
                <c:pt idx="209">
                  <c:v>836870.4423076926</c:v>
                </c:pt>
                <c:pt idx="210">
                  <c:v>828665.83012820536</c:v>
                </c:pt>
                <c:pt idx="211">
                  <c:v>820461.21794871823</c:v>
                </c:pt>
                <c:pt idx="212">
                  <c:v>812256.6057692311</c:v>
                </c:pt>
                <c:pt idx="213">
                  <c:v>804051.99358974386</c:v>
                </c:pt>
                <c:pt idx="214">
                  <c:v>795847.38141025673</c:v>
                </c:pt>
                <c:pt idx="215">
                  <c:v>787642.76923076948</c:v>
                </c:pt>
                <c:pt idx="216">
                  <c:v>779438.15705128235</c:v>
                </c:pt>
                <c:pt idx="217">
                  <c:v>771233.54487179511</c:v>
                </c:pt>
                <c:pt idx="218">
                  <c:v>763028.93269230798</c:v>
                </c:pt>
                <c:pt idx="219">
                  <c:v>754824.32051282085</c:v>
                </c:pt>
                <c:pt idx="220">
                  <c:v>746619.7083333336</c:v>
                </c:pt>
                <c:pt idx="221">
                  <c:v>738415.09615384648</c:v>
                </c:pt>
                <c:pt idx="222">
                  <c:v>730210.48397435923</c:v>
                </c:pt>
                <c:pt idx="223">
                  <c:v>722005.8717948721</c:v>
                </c:pt>
                <c:pt idx="224">
                  <c:v>713801.25961538486</c:v>
                </c:pt>
                <c:pt idx="225">
                  <c:v>705596.64743589773</c:v>
                </c:pt>
                <c:pt idx="226">
                  <c:v>697392.03525641048</c:v>
                </c:pt>
                <c:pt idx="227">
                  <c:v>689187.42307692335</c:v>
                </c:pt>
                <c:pt idx="228">
                  <c:v>680982.81089743623</c:v>
                </c:pt>
                <c:pt idx="229">
                  <c:v>672778.19871794898</c:v>
                </c:pt>
                <c:pt idx="230">
                  <c:v>664573.58653846185</c:v>
                </c:pt>
                <c:pt idx="231">
                  <c:v>656368.97435897461</c:v>
                </c:pt>
                <c:pt idx="232">
                  <c:v>648164.36217948748</c:v>
                </c:pt>
                <c:pt idx="233">
                  <c:v>639959.75000000023</c:v>
                </c:pt>
                <c:pt idx="234">
                  <c:v>631755.1378205131</c:v>
                </c:pt>
                <c:pt idx="235">
                  <c:v>623550.52564102598</c:v>
                </c:pt>
                <c:pt idx="236">
                  <c:v>615345.91346153873</c:v>
                </c:pt>
                <c:pt idx="237">
                  <c:v>607141.3012820516</c:v>
                </c:pt>
                <c:pt idx="238">
                  <c:v>598936.68910256436</c:v>
                </c:pt>
                <c:pt idx="239">
                  <c:v>590732.07692307723</c:v>
                </c:pt>
                <c:pt idx="240">
                  <c:v>582527.46474358998</c:v>
                </c:pt>
                <c:pt idx="241">
                  <c:v>574322.85256410285</c:v>
                </c:pt>
                <c:pt idx="242">
                  <c:v>566118.24038461572</c:v>
                </c:pt>
                <c:pt idx="243">
                  <c:v>557913.62820512848</c:v>
                </c:pt>
                <c:pt idx="244">
                  <c:v>549709.01602564135</c:v>
                </c:pt>
                <c:pt idx="245">
                  <c:v>541504.40384615411</c:v>
                </c:pt>
                <c:pt idx="246">
                  <c:v>533299.79166666698</c:v>
                </c:pt>
                <c:pt idx="247">
                  <c:v>525095.17948717973</c:v>
                </c:pt>
                <c:pt idx="248">
                  <c:v>516890.56730769255</c:v>
                </c:pt>
                <c:pt idx="249">
                  <c:v>508685.95512820536</c:v>
                </c:pt>
                <c:pt idx="250">
                  <c:v>500481.34294871817</c:v>
                </c:pt>
                <c:pt idx="251">
                  <c:v>492276.73076923098</c:v>
                </c:pt>
                <c:pt idx="252">
                  <c:v>484072.1185897438</c:v>
                </c:pt>
                <c:pt idx="253">
                  <c:v>475867.50641025661</c:v>
                </c:pt>
                <c:pt idx="254">
                  <c:v>467662.89423076948</c:v>
                </c:pt>
                <c:pt idx="255">
                  <c:v>459458.28205128229</c:v>
                </c:pt>
                <c:pt idx="256">
                  <c:v>451253.66987179511</c:v>
                </c:pt>
                <c:pt idx="257">
                  <c:v>443049.05769230792</c:v>
                </c:pt>
                <c:pt idx="258">
                  <c:v>434844.44551282073</c:v>
                </c:pt>
                <c:pt idx="259">
                  <c:v>426639.83333333355</c:v>
                </c:pt>
                <c:pt idx="260">
                  <c:v>418435.22115384636</c:v>
                </c:pt>
                <c:pt idx="261">
                  <c:v>410230.60897435917</c:v>
                </c:pt>
                <c:pt idx="262">
                  <c:v>402025.99679487204</c:v>
                </c:pt>
                <c:pt idx="263">
                  <c:v>393821.38461538486</c:v>
                </c:pt>
                <c:pt idx="264">
                  <c:v>385616.77243589767</c:v>
                </c:pt>
                <c:pt idx="265">
                  <c:v>377412.16025641048</c:v>
                </c:pt>
                <c:pt idx="266">
                  <c:v>369207.5480769233</c:v>
                </c:pt>
                <c:pt idx="267">
                  <c:v>361002.93589743611</c:v>
                </c:pt>
                <c:pt idx="268">
                  <c:v>352798.32371794892</c:v>
                </c:pt>
                <c:pt idx="269">
                  <c:v>344593.71153846174</c:v>
                </c:pt>
                <c:pt idx="270">
                  <c:v>336389.09935897461</c:v>
                </c:pt>
                <c:pt idx="271">
                  <c:v>328184.48717948742</c:v>
                </c:pt>
                <c:pt idx="272">
                  <c:v>319979.87500000023</c:v>
                </c:pt>
                <c:pt idx="273">
                  <c:v>311775.26282051305</c:v>
                </c:pt>
                <c:pt idx="274">
                  <c:v>303570.65064102586</c:v>
                </c:pt>
                <c:pt idx="275">
                  <c:v>295366.03846153867</c:v>
                </c:pt>
                <c:pt idx="276">
                  <c:v>287161.42628205149</c:v>
                </c:pt>
                <c:pt idx="277">
                  <c:v>278956.81410256436</c:v>
                </c:pt>
                <c:pt idx="278">
                  <c:v>270752.20192307723</c:v>
                </c:pt>
                <c:pt idx="279">
                  <c:v>262547.58974359004</c:v>
                </c:pt>
                <c:pt idx="280">
                  <c:v>254342.97756410285</c:v>
                </c:pt>
                <c:pt idx="281">
                  <c:v>246138.36538461567</c:v>
                </c:pt>
                <c:pt idx="282">
                  <c:v>237933.75320512848</c:v>
                </c:pt>
                <c:pt idx="283">
                  <c:v>229729.14102564132</c:v>
                </c:pt>
                <c:pt idx="284">
                  <c:v>221524.52884615413</c:v>
                </c:pt>
                <c:pt idx="285">
                  <c:v>213319.91666666695</c:v>
                </c:pt>
                <c:pt idx="286">
                  <c:v>205115.30448717976</c:v>
                </c:pt>
                <c:pt idx="287">
                  <c:v>196910.6923076926</c:v>
                </c:pt>
                <c:pt idx="288">
                  <c:v>188706.08012820542</c:v>
                </c:pt>
                <c:pt idx="289">
                  <c:v>180501.46794871823</c:v>
                </c:pt>
                <c:pt idx="290">
                  <c:v>172296.85576923104</c:v>
                </c:pt>
                <c:pt idx="291">
                  <c:v>164092.24358974388</c:v>
                </c:pt>
                <c:pt idx="292">
                  <c:v>155887.6314102567</c:v>
                </c:pt>
                <c:pt idx="293">
                  <c:v>147683.01923076951</c:v>
                </c:pt>
                <c:pt idx="294">
                  <c:v>139478.40705128232</c:v>
                </c:pt>
                <c:pt idx="295">
                  <c:v>131273.79487179517</c:v>
                </c:pt>
                <c:pt idx="296">
                  <c:v>123069.18269230799</c:v>
                </c:pt>
                <c:pt idx="297">
                  <c:v>114864.57051282081</c:v>
                </c:pt>
                <c:pt idx="298">
                  <c:v>106659.95833333363</c:v>
                </c:pt>
                <c:pt idx="299">
                  <c:v>98455.346153846447</c:v>
                </c:pt>
                <c:pt idx="300">
                  <c:v>90250.733974359275</c:v>
                </c:pt>
                <c:pt idx="301">
                  <c:v>82046.121794872088</c:v>
                </c:pt>
                <c:pt idx="302">
                  <c:v>73841.509615384915</c:v>
                </c:pt>
                <c:pt idx="303">
                  <c:v>65636.897435897728</c:v>
                </c:pt>
                <c:pt idx="304">
                  <c:v>57432.285256410549</c:v>
                </c:pt>
                <c:pt idx="305">
                  <c:v>49227.673076923369</c:v>
                </c:pt>
                <c:pt idx="306">
                  <c:v>41023.060897436189</c:v>
                </c:pt>
                <c:pt idx="307">
                  <c:v>32818.44871794901</c:v>
                </c:pt>
                <c:pt idx="308">
                  <c:v>24613.83653846183</c:v>
                </c:pt>
                <c:pt idx="309">
                  <c:v>16409.22435897465</c:v>
                </c:pt>
                <c:pt idx="310">
                  <c:v>8204.6121794874707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DD1-4601-9DE1-1786BE08E5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7717892"/>
        <c:axId val="29780324"/>
        <c:axId val="56439736"/>
      </c:area3DChart>
      <c:catAx>
        <c:axId val="477178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low"/>
        <c:spPr>
          <a:ln>
            <a:solidFill>
              <a:srgbClr val="B3B3B3"/>
            </a:solidFill>
          </a:ln>
        </c:spPr>
        <c:txPr>
          <a:bodyPr rot="-5400000"/>
          <a:lstStyle/>
          <a:p>
            <a:pPr>
              <a:defRPr sz="800" b="0" strike="noStrike" spc="-1">
                <a:latin typeface="Arial"/>
              </a:defRPr>
            </a:pPr>
            <a:endParaRPr lang="nb-NO"/>
          </a:p>
        </c:txPr>
        <c:crossAx val="29780324"/>
        <c:crosses val="autoZero"/>
        <c:auto val="1"/>
        <c:lblAlgn val="ctr"/>
        <c:lblOffset val="100"/>
        <c:noMultiLvlLbl val="1"/>
      </c:catAx>
      <c:valAx>
        <c:axId val="29780324"/>
        <c:scaling>
          <c:orientation val="minMax"/>
          <c:min val="0"/>
        </c:scaling>
        <c:delete val="0"/>
        <c:axPos val="l"/>
        <c:majorGridlines>
          <c:spPr>
            <a:ln>
              <a:solidFill>
                <a:srgbClr val="B3B3B3"/>
              </a:solidFill>
            </a:ln>
          </c:spPr>
        </c:majorGridlines>
        <c:numFmt formatCode="[$kr-414]\ #,##0;\-[$kr-414]\ #,##0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800" b="0" strike="noStrike" spc="-1">
                <a:latin typeface="Arial"/>
              </a:defRPr>
            </a:pPr>
            <a:endParaRPr lang="nb-NO"/>
          </a:p>
        </c:txPr>
        <c:crossAx val="47717892"/>
        <c:crosses val="min"/>
        <c:crossBetween val="midCat"/>
      </c:valAx>
      <c:catAx>
        <c:axId val="56439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rgbClr val="B3B3B3"/>
            </a:solidFill>
          </a:ln>
        </c:spPr>
        <c:txPr>
          <a:bodyPr/>
          <a:lstStyle/>
          <a:p>
            <a:pPr>
              <a:defRPr sz="800" b="0" strike="noStrike" spc="-1">
                <a:latin typeface="Arial"/>
              </a:defRPr>
            </a:pPr>
            <a:endParaRPr lang="nb-NO"/>
          </a:p>
        </c:txPr>
        <c:crossAx val="29780324"/>
        <c:crosses val="autoZero"/>
        <c:auto val="1"/>
        <c:lblAlgn val="ctr"/>
        <c:lblOffset val="100"/>
        <c:noMultiLvlLbl val="1"/>
      </c:catAx>
    </c:plotArea>
    <c:legend>
      <c:legendPos val="r"/>
      <c:layout>
        <c:manualLayout>
          <c:xMode val="edge"/>
          <c:yMode val="edge"/>
          <c:x val="0.72038309389964605"/>
          <c:y val="2.7046372513932201E-2"/>
        </c:manualLayout>
      </c:layout>
      <c:overlay val="0"/>
      <c:spPr>
        <a:noFill/>
        <a:ln>
          <a:noFill/>
        </a:ln>
      </c:spPr>
      <c:txPr>
        <a:bodyPr/>
        <a:lstStyle/>
        <a:p>
          <a:pPr>
            <a:defRPr sz="1552" b="0" strike="noStrike" spc="-1">
              <a:latin typeface="Arial"/>
            </a:defRPr>
          </a:pPr>
          <a:endParaRPr lang="nb-NO"/>
        </a:p>
      </c:txPr>
    </c:legend>
    <c:plotVisOnly val="0"/>
    <c:dispBlanksAs val="span"/>
    <c:showDLblsOverMax val="1"/>
  </c:chart>
  <c:spPr>
    <a:solidFill>
      <a:srgbClr val="FFFFFF"/>
    </a:solidFill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38160</xdr:colOff>
      <xdr:row>27</xdr:row>
      <xdr:rowOff>2880</xdr:rowOff>
    </xdr:from>
    <xdr:to>
      <xdr:col>3</xdr:col>
      <xdr:colOff>622080</xdr:colOff>
      <xdr:row>44</xdr:row>
      <xdr:rowOff>25920</xdr:rowOff>
    </xdr:to>
    <xdr:graphicFrame macro="">
      <xdr:nvGraphicFramePr>
        <xdr:cNvPr id="2" name="Renter med og uten tilleggsnedbetalinger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36360</xdr:colOff>
      <xdr:row>46</xdr:row>
      <xdr:rowOff>162000</xdr:rowOff>
    </xdr:from>
    <xdr:to>
      <xdr:col>3</xdr:col>
      <xdr:colOff>612360</xdr:colOff>
      <xdr:row>64</xdr:row>
      <xdr:rowOff>17280</xdr:rowOff>
    </xdr:to>
    <xdr:graphicFrame macro="">
      <xdr:nvGraphicFramePr>
        <xdr:cNvPr id="3" name="Renter med og uten tilleggsnedbetalinger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12</xdr:col>
      <xdr:colOff>350520</xdr:colOff>
      <xdr:row>43</xdr:row>
      <xdr:rowOff>68580</xdr:rowOff>
    </xdr:to>
    <xdr:sp macro="" textlink="">
      <xdr:nvSpPr>
        <xdr:cNvPr id="2050" name="shapetype_202" hidden="1">
          <a:extLst>
            <a:ext uri="{FF2B5EF4-FFF2-40B4-BE49-F238E27FC236}">
              <a16:creationId xmlns:a16="http://schemas.microsoft.com/office/drawing/2014/main" id="{5476646A-3730-4F04-B65A-F5D9E1BD817B}"/>
            </a:ext>
          </a:extLst>
        </xdr:cNvPr>
        <xdr:cNvSpPr txBox="1">
          <a:spLocks noSelect="1" noChangeArrowheads="1"/>
        </xdr:cNvSpPr>
      </xdr:nvSpPr>
      <xdr:spPr bwMode="auto">
        <a:xfrm>
          <a:off x="0" y="0"/>
          <a:ext cx="7620000" cy="7620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miter lim="800000"/>
          <a:headEnd/>
          <a:tailEnd/>
        </a:ln>
      </xdr:spPr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8280</xdr:rowOff>
    </xdr:from>
    <xdr:to>
      <xdr:col>14</xdr:col>
      <xdr:colOff>719640</xdr:colOff>
      <xdr:row>46</xdr:row>
      <xdr:rowOff>52560</xdr:rowOff>
    </xdr:to>
    <xdr:graphicFrame macro="">
      <xdr:nvGraphicFramePr>
        <xdr:cNvPr id="2" name="Renter med og uten tilleggsnedbetalinger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720</xdr:rowOff>
    </xdr:from>
    <xdr:to>
      <xdr:col>14</xdr:col>
      <xdr:colOff>719640</xdr:colOff>
      <xdr:row>45</xdr:row>
      <xdr:rowOff>167040</xdr:rowOff>
    </xdr:to>
    <xdr:graphicFrame macro="">
      <xdr:nvGraphicFramePr>
        <xdr:cNvPr id="3" name="Nedbetalingsplan med tilleggsnedbetalinger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3</xdr:row>
      <xdr:rowOff>8280</xdr:rowOff>
    </xdr:from>
    <xdr:to>
      <xdr:col>14</xdr:col>
      <xdr:colOff>719640</xdr:colOff>
      <xdr:row>46</xdr:row>
      <xdr:rowOff>52560</xdr:rowOff>
    </xdr:to>
    <xdr:graphicFrame macro="">
      <xdr:nvGraphicFramePr>
        <xdr:cNvPr id="4" name="Renter med og uten tilleggsnedbetalinger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– 2022-tema">
  <a:themeElements>
    <a:clrScheme name="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hyperlink" Target="http://ssb.no/tabell/kpi" TargetMode="Externa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hyperlink" Target="http://www.gnu.org/licenses/gpl.html" TargetMode="External"/><Relationship Id="rId1" Type="http://schemas.openxmlformats.org/officeDocument/2006/relationships/hyperlink" Target="http://mettleine.wordpress.com/2008/04/27/ekstra-nedbetaling-pa-annuitetslan-og-seriela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P366"/>
  <sheetViews>
    <sheetView zoomScaleNormal="100" workbookViewId="0">
      <selection activeCell="B5" sqref="B5"/>
    </sheetView>
  </sheetViews>
  <sheetFormatPr baseColWidth="10" defaultColWidth="8.86328125" defaultRowHeight="13" x14ac:dyDescent="0.6"/>
  <cols>
    <col min="1" max="1" width="43.2265625" customWidth="1"/>
    <col min="2" max="2" width="18.6796875" customWidth="1"/>
    <col min="3" max="3" width="10.31640625" customWidth="1"/>
    <col min="4" max="4" width="13.31640625" customWidth="1"/>
    <col min="5" max="5" width="7.453125" customWidth="1"/>
    <col min="6" max="6" width="7.6796875" customWidth="1"/>
    <col min="7" max="8" width="11.76953125" customWidth="1"/>
    <col min="9" max="9" width="11.453125" customWidth="1"/>
    <col min="10" max="11" width="12.76953125" customWidth="1"/>
    <col min="12" max="12" width="13" hidden="1" customWidth="1"/>
    <col min="13" max="13" width="12.76953125" hidden="1" customWidth="1"/>
    <col min="14" max="256" width="11" customWidth="1"/>
    <col min="257" max="1025" width="11.54296875"/>
  </cols>
  <sheetData>
    <row r="1" spans="1:13" ht="12.75" customHeight="1" x14ac:dyDescent="0.6">
      <c r="A1" s="1" t="s">
        <v>0</v>
      </c>
      <c r="B1" s="2"/>
      <c r="C1" s="2"/>
      <c r="D1" s="2"/>
      <c r="E1" s="3"/>
      <c r="F1" s="282" t="s">
        <v>1</v>
      </c>
      <c r="G1" s="280" t="s">
        <v>2</v>
      </c>
      <c r="H1" s="279" t="s">
        <v>3</v>
      </c>
      <c r="I1" s="280" t="s">
        <v>4</v>
      </c>
      <c r="J1" s="279" t="s">
        <v>5</v>
      </c>
      <c r="K1" s="279" t="s">
        <v>6</v>
      </c>
      <c r="L1" s="280" t="s">
        <v>7</v>
      </c>
      <c r="M1" s="280" t="s">
        <v>8</v>
      </c>
    </row>
    <row r="2" spans="1:13" x14ac:dyDescent="0.6">
      <c r="A2" s="4" t="s">
        <v>9</v>
      </c>
      <c r="B2" s="5" t="s">
        <v>143</v>
      </c>
      <c r="C2" s="6" t="s">
        <v>10</v>
      </c>
      <c r="D2" s="7"/>
      <c r="E2" s="8"/>
      <c r="F2" s="282"/>
      <c r="G2" s="280"/>
      <c r="H2" s="279"/>
      <c r="I2" s="280"/>
      <c r="J2" s="279"/>
      <c r="K2" s="279"/>
      <c r="L2" s="280"/>
      <c r="M2" s="280"/>
    </row>
    <row r="3" spans="1:13" x14ac:dyDescent="0.6">
      <c r="A3" s="4" t="s">
        <v>11</v>
      </c>
      <c r="B3" s="9">
        <v>2605000</v>
      </c>
      <c r="C3" s="6" t="s">
        <v>10</v>
      </c>
      <c r="D3" s="7"/>
      <c r="E3" s="4"/>
      <c r="F3" s="10">
        <v>1</v>
      </c>
      <c r="G3" s="11">
        <f>IF(F3&gt;$B$14, 0, $B$3*($B$5/12))</f>
        <v>11917.875</v>
      </c>
      <c r="H3" s="12">
        <f t="shared" ref="H3:H66" si="0">IF(OR($B$3&lt;=0,F3&gt;ROUND($B$4*12,0)),0,IF(LOWER(LEFT($B$2,1))="s", ($B$3-(F3-1)*($B$3/ROUND($B$4*12,0)))*($B$5/12),ABS(IPMT($B$5/12,F3,ROUND(NPER($B$5/12,-ABS($B$6),$B$3,0),0),$B$3))))</f>
        <v>11917.875</v>
      </c>
      <c r="I3" s="11">
        <f t="shared" ref="I3:I66" si="1">H3-G3</f>
        <v>0</v>
      </c>
      <c r="J3" s="12">
        <f>IF(H3=0, 0, ROUND(SUM(H$3:H3)-SUM(G$3:G3),0))</f>
        <v>0</v>
      </c>
      <c r="K3" s="12">
        <f>IF(F3&gt;$B$14,"",ROUNDDOWN(M3-L3,-(LEN(TEXT(INT(ABS(M3-L3)),0))-2)))</f>
        <v>1300</v>
      </c>
      <c r="L3" s="11">
        <f>IF($F3&gt;=$B$14, 0, IF(LOWER(LEFT($B$2,1))="s", ($B$3-($F3)*($B$3/ROUND($B$4*12,0)+$B$10)),$B$3-($F3*$B$6-SUM(G$3:G3)+$B$10*$F3)))</f>
        <v>2595275.641025641</v>
      </c>
      <c r="M3" s="11">
        <f>IF(F3&gt;=ROUND($B$4*12,0),0,IF(LOWER(LEFT($B$2,1))="s", ($B$3-($B$3/ROUND($B$4*12,0))*F3),$B$3-(F3*$B$6-SUM(H$3:H3))))</f>
        <v>2596650.641025641</v>
      </c>
    </row>
    <row r="4" spans="1:13" x14ac:dyDescent="0.6">
      <c r="A4" s="4" t="s">
        <v>12</v>
      </c>
      <c r="B4" s="13">
        <v>26</v>
      </c>
      <c r="C4" s="6" t="s">
        <v>10</v>
      </c>
      <c r="D4" s="7"/>
      <c r="E4" s="4"/>
      <c r="F4" s="14">
        <v>2</v>
      </c>
      <c r="G4" s="15">
        <f>IF(F4&gt;$B$14, 0, IF(LOWER(LEFT($B$2,1))="s", ($B$3-($F4-1)*($B$3/ROUND($B$4*12,0)+$B$10))*($B$5/12),IF(F4=$B$14, ($B$3-((F4-1)*($B$10+$B$6)-SUM(G$3:G3)))*($B$5/12), ABS(IPMT($B$5/12,$F4,NPER($B$5/12,-ABS($B$6)-$B$10,$B$3,0),$B$3)))))</f>
        <v>11873.386057692307</v>
      </c>
      <c r="H4" s="16">
        <f t="shared" si="0"/>
        <v>11879.676682692309</v>
      </c>
      <c r="I4" s="15">
        <f t="shared" si="1"/>
        <v>6.2906250000014552</v>
      </c>
      <c r="J4" s="16">
        <f>IF(H4=0, 0, ROUND(SUM(H$3:H4)-SUM(G$3:G4),0))</f>
        <v>6</v>
      </c>
      <c r="K4" s="16">
        <f t="shared" ref="K4:K67" si="2">IF(F4&gt;$B$14,"",IF(ROUNDDOWN(M3-L3,-(LEN(TEXT(INT(ABS(M3-L3)),0))-2)) = ROUNDDOWN(M4-L4,-(LEN(TEXT(INT(ABS(M4-L4)),0))-2)), "", ROUNDDOWN(M4-L4,-(LEN(TEXT(INT(ABS(M4-L4)),0))-2))))</f>
        <v>2700</v>
      </c>
      <c r="L4" s="15">
        <f>IF($F4&gt;=$B$14, 0, IF(LOWER(LEFT($B$2,1))="s", ($B$3-($F4)*($B$3/ROUND($B$4*12,0)+$B$10)),$B$3-($F4*$B$6-SUM(G$3:G4)+$B$10*$F4)))</f>
        <v>2585551.282051282</v>
      </c>
      <c r="M4" s="15">
        <f>IF(F4&gt;=ROUND($B$4*12,0),0,IF(LOWER(LEFT($B$2,1))="s", ($B$3-($B$3/ROUND($B$4*12,0))*F4),$B$3-(F4*$B$6-SUM(H$3:H4))))</f>
        <v>2588301.282051282</v>
      </c>
    </row>
    <row r="5" spans="1:13" x14ac:dyDescent="0.6">
      <c r="A5" s="4" t="s">
        <v>13</v>
      </c>
      <c r="B5" s="264">
        <v>5.4899999999999997E-2</v>
      </c>
      <c r="C5" s="6" t="s">
        <v>10</v>
      </c>
      <c r="D5" s="7"/>
      <c r="E5" s="4"/>
      <c r="F5" s="10">
        <v>3</v>
      </c>
      <c r="G5" s="11">
        <f>IF(F5&gt;$B$14, 0, IF(LOWER(LEFT($B$2,1))="s", ($B$3-($F5-1)*($B$3/ROUND($B$4*12,0)+$B$10))*($B$5/12),IF(F5=$B$14, ($B$3-((F5-1)*($B$10+$B$6)-SUM(G$3:G4)))*($B$5/12), ABS(IPMT($B$5/12,$F5,NPER($B$5/12,-ABS($B$6)-$B$10,$B$3,0),$B$3)))))</f>
        <v>11828.897115384616</v>
      </c>
      <c r="H5" s="12">
        <f t="shared" si="0"/>
        <v>11841.478365384615</v>
      </c>
      <c r="I5" s="11">
        <f t="shared" si="1"/>
        <v>12.581249999999272</v>
      </c>
      <c r="J5" s="12">
        <f>IF(H5=0, 0, ROUND(SUM(H$3:H5)-SUM(G$3:G5),0))</f>
        <v>19</v>
      </c>
      <c r="K5" s="12">
        <f t="shared" si="2"/>
        <v>4100</v>
      </c>
      <c r="L5" s="11">
        <f>IF($F5&gt;=$B$14, 0, IF(LOWER(LEFT($B$2,1))="s", ($B$3-($F5)*($B$3/ROUND($B$4*12,0)+$B$10)),$B$3-($F5*$B$6-SUM(G$3:G5)+$B$10*$F5)))</f>
        <v>2575826.923076923</v>
      </c>
      <c r="M5" s="11">
        <f>IF(F5&gt;=ROUND($B$4*12,0),0,IF(LOWER(LEFT($B$2,1))="s", ($B$3-($B$3/ROUND($B$4*12,0))*F5),$B$3-(F5*$B$6-SUM(H$3:H5))))</f>
        <v>2579951.923076923</v>
      </c>
    </row>
    <row r="6" spans="1:13" x14ac:dyDescent="0.6">
      <c r="A6" s="17" t="str">
        <f>IF(LOWER(LEFT($B$2,1))="s", "Første terminbeløp, deretter synkende (uten gebyr):", "Terminbeløp (uten gebyr):")</f>
        <v>Første terminbeløp, deretter synkende (uten gebyr):</v>
      </c>
      <c r="B6" s="18">
        <f>IF($B$3&lt;=0,0,IF(LOWER(LEFT($B$2,1))="s", $B$3/ROUND($B$4*12,0)+$B$3*($B$5/12), ABS(PMT($B$5/12,ROUND($B$4*12,0),$B$3))))</f>
        <v>20267.233974358976</v>
      </c>
      <c r="C6" s="19"/>
      <c r="D6" s="20"/>
      <c r="E6" s="4"/>
      <c r="F6" s="14">
        <v>4</v>
      </c>
      <c r="G6" s="15">
        <f>IF(F6&gt;$B$14, 0, IF(LOWER(LEFT($B$2,1))="s", ($B$3-($F6-1)*($B$3/ROUND($B$4*12,0)+$B$10))*($B$5/12),IF(F6=$B$14, ($B$3-((F6-1)*($B$10+$B$6)-SUM(G$3:G5)))*($B$5/12), ABS(IPMT($B$5/12,$F6,NPER($B$5/12,-ABS($B$6)-$B$10,$B$3,0),$B$3)))))</f>
        <v>11784.408173076923</v>
      </c>
      <c r="H6" s="16">
        <f t="shared" si="0"/>
        <v>11803.280048076924</v>
      </c>
      <c r="I6" s="15">
        <f t="shared" si="1"/>
        <v>18.871875000000728</v>
      </c>
      <c r="J6" s="16">
        <f>IF(H6=0, 0, ROUND(SUM(H$3:H6)-SUM(G$3:G6),0))</f>
        <v>38</v>
      </c>
      <c r="K6" s="16">
        <f t="shared" si="2"/>
        <v>5500</v>
      </c>
      <c r="L6" s="15">
        <f>IF($F6&gt;=$B$14, 0, IF(LOWER(LEFT($B$2,1))="s", ($B$3-($F6)*($B$3/ROUND($B$4*12,0)+$B$10)),$B$3-($F6*$B$6-SUM(G$3:G6)+$B$10*$F6)))</f>
        <v>2566102.564102564</v>
      </c>
      <c r="M6" s="15">
        <f>IF(F6&gt;=ROUND($B$4*12,0),0,IF(LOWER(LEFT($B$2,1))="s", ($B$3-($B$3/ROUND($B$4*12,0))*F6),$B$3-(F6*$B$6-SUM(H$3:H6))))</f>
        <v>2571602.564102564</v>
      </c>
    </row>
    <row r="7" spans="1:13" x14ac:dyDescent="0.6">
      <c r="A7" s="17"/>
      <c r="B7" s="21"/>
      <c r="C7" s="22"/>
      <c r="D7" s="23"/>
      <c r="E7" s="4"/>
      <c r="F7" s="10">
        <v>5</v>
      </c>
      <c r="G7" s="11">
        <f>IF(F7&gt;$B$14, 0, IF(LOWER(LEFT($B$2,1))="s", ($B$3-($F7-1)*($B$3/ROUND($B$4*12,0)+$B$10))*($B$5/12),IF(F7=$B$14, ($B$3-((F7-1)*($B$10+$B$6)-SUM(G$3:G6)))*($B$5/12), ABS(IPMT($B$5/12,$F7,NPER($B$5/12,-ABS($B$6)-$B$10,$B$3,0),$B$3)))))</f>
        <v>11739.91923076923</v>
      </c>
      <c r="H7" s="12">
        <f t="shared" si="0"/>
        <v>11765.08173076923</v>
      </c>
      <c r="I7" s="11">
        <f t="shared" si="1"/>
        <v>25.162500000000364</v>
      </c>
      <c r="J7" s="12">
        <f>IF(H7=0, 0, ROUND(SUM(H$3:H7)-SUM(G$3:G7),0))</f>
        <v>63</v>
      </c>
      <c r="K7" s="12">
        <f t="shared" si="2"/>
        <v>6800</v>
      </c>
      <c r="L7" s="11">
        <f>IF($F7&gt;=$B$14, 0, IF(LOWER(LEFT($B$2,1))="s", ($B$3-($F7)*($B$3/ROUND($B$4*12,0)+$B$10)),$B$3-($F7*$B$6-SUM(G$3:G7)+$B$10*$F7)))</f>
        <v>2556378.205128205</v>
      </c>
      <c r="M7" s="11">
        <f>IF(F7&gt;=ROUND($B$4*12,0),0,IF(LOWER(LEFT($B$2,1))="s", ($B$3-($B$3/ROUND($B$4*12,0))*F7),$B$3-(F7*$B$6-SUM(H$3:H7))))</f>
        <v>2563253.205128205</v>
      </c>
    </row>
    <row r="8" spans="1:13" x14ac:dyDescent="0.6">
      <c r="A8" s="4"/>
      <c r="C8" s="24"/>
      <c r="D8" s="25"/>
      <c r="E8" s="4"/>
      <c r="F8" s="14">
        <v>6</v>
      </c>
      <c r="G8" s="15">
        <f>IF(F8&gt;$B$14, 0, IF(LOWER(LEFT($B$2,1))="s", ($B$3-($F8-1)*($B$3/ROUND($B$4*12,0)+$B$10))*($B$5/12),IF(F8=$B$14, ($B$3-((F8-1)*($B$10+$B$6)-SUM(G$3:G7)))*($B$5/12), ABS(IPMT($B$5/12,$F8,NPER($B$5/12,-ABS($B$6)-$B$10,$B$3,0),$B$3)))))</f>
        <v>11695.430288461537</v>
      </c>
      <c r="H8" s="16">
        <f t="shared" si="0"/>
        <v>11726.883413461537</v>
      </c>
      <c r="I8" s="15">
        <f t="shared" si="1"/>
        <v>31.453125</v>
      </c>
      <c r="J8" s="16">
        <f>IF(H8=0, 0, ROUND(SUM(H$3:H8)-SUM(G$3:G8),0))</f>
        <v>94</v>
      </c>
      <c r="K8" s="16">
        <f t="shared" si="2"/>
        <v>8200</v>
      </c>
      <c r="L8" s="15">
        <f>IF($F8&gt;=$B$14, 0, IF(LOWER(LEFT($B$2,1))="s", ($B$3-($F8)*($B$3/ROUND($B$4*12,0)+$B$10)),$B$3-($F8*$B$6-SUM(G$3:G8)+$B$10*$F8)))</f>
        <v>2546653.846153846</v>
      </c>
      <c r="M8" s="15">
        <f>IF(F8&gt;=ROUND($B$4*12,0),0,IF(LOWER(LEFT($B$2,1))="s", ($B$3-($B$3/ROUND($B$4*12,0))*F8),$B$3-(F8*$B$6-SUM(H$3:H8))))</f>
        <v>2554903.846153846</v>
      </c>
    </row>
    <row r="9" spans="1:13" x14ac:dyDescent="0.6">
      <c r="A9" s="1" t="s">
        <v>14</v>
      </c>
      <c r="B9" s="4"/>
      <c r="C9" s="24"/>
      <c r="D9" s="25"/>
      <c r="E9" s="4"/>
      <c r="F9" s="10">
        <v>7</v>
      </c>
      <c r="G9" s="11">
        <f>IF(F9&gt;$B$14, 0, IF(LOWER(LEFT($B$2,1))="s", ($B$3-($F9-1)*($B$3/ROUND($B$4*12,0)+$B$10))*($B$5/12),IF(F9=$B$14, ($B$3-((F9-1)*($B$10+$B$6)-SUM(G$3:G8)))*($B$5/12), ABS(IPMT($B$5/12,$F9,NPER($B$5/12,-ABS($B$6)-$B$10,$B$3,0),$B$3)))))</f>
        <v>11650.941346153846</v>
      </c>
      <c r="H9" s="12">
        <f t="shared" si="0"/>
        <v>11688.685096153846</v>
      </c>
      <c r="I9" s="11">
        <f t="shared" si="1"/>
        <v>37.743749999999636</v>
      </c>
      <c r="J9" s="12">
        <f>IF(H9=0, 0, ROUND(SUM(H$3:H9)-SUM(G$3:G9),0))</f>
        <v>132</v>
      </c>
      <c r="K9" s="12">
        <f t="shared" si="2"/>
        <v>9600</v>
      </c>
      <c r="L9" s="11">
        <f>IF($F9&gt;=$B$14, 0, IF(LOWER(LEFT($B$2,1))="s", ($B$3-($F9)*($B$3/ROUND($B$4*12,0)+$B$10)),$B$3-($F9*$B$6-SUM(G$3:G9)+$B$10*$F9)))</f>
        <v>2536929.487179487</v>
      </c>
      <c r="M9" s="11">
        <f>IF(F9&gt;=ROUND($B$4*12,0),0,IF(LOWER(LEFT($B$2,1))="s", ($B$3-($B$3/ROUND($B$4*12,0))*F9),$B$3-(F9*$B$6-SUM(H$3:H9))))</f>
        <v>2546554.487179487</v>
      </c>
    </row>
    <row r="10" spans="1:13" x14ac:dyDescent="0.6">
      <c r="A10" s="4" t="s">
        <v>15</v>
      </c>
      <c r="B10" s="9">
        <v>1375</v>
      </c>
      <c r="C10" s="6" t="s">
        <v>10</v>
      </c>
      <c r="D10" s="7"/>
      <c r="E10" s="4"/>
      <c r="F10" s="14">
        <v>8</v>
      </c>
      <c r="G10" s="15">
        <f>IF(F10&gt;$B$14, 0, IF(LOWER(LEFT($B$2,1))="s", ($B$3-($F10-1)*($B$3/ROUND($B$4*12,0)+$B$10))*($B$5/12),IF(F10=$B$14, ($B$3-((F10-1)*($B$10+$B$6)-SUM(G$3:G9)))*($B$5/12), ABS(IPMT($B$5/12,$F10,NPER($B$5/12,-ABS($B$6)-$B$10,$B$3,0),$B$3)))))</f>
        <v>11606.452403846153</v>
      </c>
      <c r="H10" s="16">
        <f t="shared" si="0"/>
        <v>11650.486778846152</v>
      </c>
      <c r="I10" s="15">
        <f t="shared" si="1"/>
        <v>44.034374999999272</v>
      </c>
      <c r="J10" s="16">
        <f>IF(H10=0, 0, ROUND(SUM(H$3:H10)-SUM(G$3:G10),0))</f>
        <v>176</v>
      </c>
      <c r="K10" s="16">
        <f t="shared" si="2"/>
        <v>11000</v>
      </c>
      <c r="L10" s="15">
        <f>IF($F10&gt;=$B$14, 0, IF(LOWER(LEFT($B$2,1))="s", ($B$3-($F10)*($B$3/ROUND($B$4*12,0)+$B$10)),$B$3-($F10*$B$6-SUM(G$3:G10)+$B$10*$F10)))</f>
        <v>2527205.128205128</v>
      </c>
      <c r="M10" s="15">
        <f>IF(F10&gt;=ROUND($B$4*12,0),0,IF(LOWER(LEFT($B$2,1))="s", ($B$3-($B$3/ROUND($B$4*12,0))*F10),$B$3-(F10*$B$6-SUM(H$3:H10))))</f>
        <v>2538205.128205128</v>
      </c>
    </row>
    <row r="11" spans="1:13" x14ac:dyDescent="0.6">
      <c r="A11" s="4"/>
      <c r="B11" s="21"/>
      <c r="C11" s="2"/>
      <c r="D11" s="2"/>
      <c r="E11" s="25"/>
      <c r="F11" s="10">
        <v>9</v>
      </c>
      <c r="G11" s="11">
        <f>IF(F11&gt;$B$14, 0, IF(LOWER(LEFT($B$2,1))="s", ($B$3-($F11-1)*($B$3/ROUND($B$4*12,0)+$B$10))*($B$5/12),IF(F11=$B$14, ($B$3-((F11-1)*($B$10+$B$6)-SUM(G$3:G10)))*($B$5/12), ABS(IPMT($B$5/12,$F11,NPER($B$5/12,-ABS($B$6)-$B$10,$B$3,0),$B$3)))))</f>
        <v>11561.96346153846</v>
      </c>
      <c r="H11" s="12">
        <f t="shared" si="0"/>
        <v>11612.288461538461</v>
      </c>
      <c r="I11" s="11">
        <f t="shared" si="1"/>
        <v>50.325000000000728</v>
      </c>
      <c r="J11" s="12">
        <f>IF(H11=0, 0, ROUND(SUM(H$3:H11)-SUM(G$3:G11),0))</f>
        <v>226</v>
      </c>
      <c r="K11" s="12">
        <f t="shared" si="2"/>
        <v>12000</v>
      </c>
      <c r="L11" s="11">
        <f>IF($F11&gt;=$B$14, 0, IF(LOWER(LEFT($B$2,1))="s", ($B$3-($F11)*($B$3/ROUND($B$4*12,0)+$B$10)),$B$3-($F11*$B$6-SUM(G$3:G11)+$B$10*$F11)))</f>
        <v>2517480.769230769</v>
      </c>
      <c r="M11" s="11">
        <f>IF(F11&gt;=ROUND($B$4*12,0),0,IF(LOWER(LEFT($B$2,1))="s", ($B$3-($B$3/ROUND($B$4*12,0))*F11),$B$3-(F11*$B$6-SUM(H$3:H11))))</f>
        <v>2529855.769230769</v>
      </c>
    </row>
    <row r="12" spans="1:13" x14ac:dyDescent="0.6">
      <c r="A12" s="4"/>
      <c r="B12" s="2"/>
      <c r="C12" s="2"/>
      <c r="D12" s="2"/>
      <c r="E12" s="25"/>
      <c r="F12" s="14">
        <v>10</v>
      </c>
      <c r="G12" s="15">
        <f>IF(F12&gt;$B$14, 0, IF(LOWER(LEFT($B$2,1))="s", ($B$3-($F12-1)*($B$3/ROUND($B$4*12,0)+$B$10))*($B$5/12),IF(F12=$B$14, ($B$3-((F12-1)*($B$10+$B$6)-SUM(G$3:G11)))*($B$5/12), ABS(IPMT($B$5/12,$F12,NPER($B$5/12,-ABS($B$6)-$B$10,$B$3,0),$B$3)))))</f>
        <v>11517.474519230769</v>
      </c>
      <c r="H12" s="16">
        <f t="shared" si="0"/>
        <v>11574.090144230768</v>
      </c>
      <c r="I12" s="15">
        <f t="shared" si="1"/>
        <v>56.615624999998545</v>
      </c>
      <c r="J12" s="16">
        <f>IF(H12=0, 0, ROUND(SUM(H$3:H12)-SUM(G$3:G12),0))</f>
        <v>283</v>
      </c>
      <c r="K12" s="16">
        <f t="shared" si="2"/>
        <v>13000</v>
      </c>
      <c r="L12" s="15">
        <f>IF($F12&gt;=$B$14, 0, IF(LOWER(LEFT($B$2,1))="s", ($B$3-($F12)*($B$3/ROUND($B$4*12,0)+$B$10)),$B$3-($F12*$B$6-SUM(G$3:G12)+$B$10*$F12)))</f>
        <v>2507756.41025641</v>
      </c>
      <c r="M12" s="15">
        <f>IF(F12&gt;=ROUND($B$4*12,0),0,IF(LOWER(LEFT($B$2,1))="s", ($B$3-($B$3/ROUND($B$4*12,0))*F12),$B$3-(F12*$B$6-SUM(H$3:H12))))</f>
        <v>2521506.41025641</v>
      </c>
    </row>
    <row r="13" spans="1:13" x14ac:dyDescent="0.6">
      <c r="A13" s="1" t="s">
        <v>16</v>
      </c>
      <c r="B13" s="2"/>
      <c r="C13" s="2"/>
      <c r="D13" s="2"/>
      <c r="E13" s="25"/>
      <c r="F13" s="10">
        <v>11</v>
      </c>
      <c r="G13" s="11">
        <f>IF(F13&gt;$B$14, 0, IF(LOWER(LEFT($B$2,1))="s", ($B$3-($F13-1)*($B$3/ROUND($B$4*12,0)+$B$10))*($B$5/12),IF(F13=$B$14, ($B$3-((F13-1)*($B$10+$B$6)-SUM(G$3:G12)))*($B$5/12), ABS(IPMT($B$5/12,$F13,NPER($B$5/12,-ABS($B$6)-$B$10,$B$3,0),$B$3)))))</f>
        <v>11472.985576923076</v>
      </c>
      <c r="H13" s="12">
        <f t="shared" si="0"/>
        <v>11535.891826923076</v>
      </c>
      <c r="I13" s="11">
        <f t="shared" si="1"/>
        <v>62.90625</v>
      </c>
      <c r="J13" s="12">
        <f>IF(H13=0, 0, ROUND(SUM(H$3:H13)-SUM(G$3:G13),0))</f>
        <v>346</v>
      </c>
      <c r="K13" s="12">
        <f t="shared" si="2"/>
        <v>15000</v>
      </c>
      <c r="L13" s="11">
        <f>IF($F13&gt;=$B$14, 0, IF(LOWER(LEFT($B$2,1))="s", ($B$3-($F13)*($B$3/ROUND($B$4*12,0)+$B$10)),$B$3-($F13*$B$6-SUM(G$3:G13)+$B$10*$F13)))</f>
        <v>2498032.0512820515</v>
      </c>
      <c r="M13" s="11">
        <f>IF(F13&gt;=ROUND($B$4*12,0),0,IF(LOWER(LEFT($B$2,1))="s", ($B$3-($B$3/ROUND($B$4*12,0))*F13),$B$3-(F13*$B$6-SUM(H$3:H13))))</f>
        <v>2513157.0512820515</v>
      </c>
    </row>
    <row r="14" spans="1:13" x14ac:dyDescent="0.6">
      <c r="A14" s="26" t="s">
        <v>17</v>
      </c>
      <c r="B14" s="27">
        <f>IF($B$3&lt;=0,0,IF(LOWER(LEFT($B$2,1))="s", ROUNDUP(ROUND($B$3/($B$3/ROUND($B$4*12,0)+$B$10),6),0), ROUNDUP(ROUND(NPER($B$5/12,-ABS($B$6)-$B$10,$B$3,0),6),0)))</f>
        <v>268</v>
      </c>
      <c r="C14" s="28"/>
      <c r="D14" s="28"/>
      <c r="E14" s="23"/>
      <c r="F14" s="14">
        <v>12</v>
      </c>
      <c r="G14" s="15">
        <f>IF(F14&gt;$B$14, 0, IF(LOWER(LEFT($B$2,1))="s", ($B$3-($F14-1)*($B$3/ROUND($B$4*12,0)+$B$10))*($B$5/12),IF(F14=$B$14, ($B$3-((F14-1)*($B$10+$B$6)-SUM(G$3:G13)))*($B$5/12), ABS(IPMT($B$5/12,$F14,NPER($B$5/12,-ABS($B$6)-$B$10,$B$3,0),$B$3)))))</f>
        <v>11428.496634615385</v>
      </c>
      <c r="H14" s="16">
        <f t="shared" si="0"/>
        <v>11497.693509615387</v>
      </c>
      <c r="I14" s="15">
        <f t="shared" si="1"/>
        <v>69.196875000001455</v>
      </c>
      <c r="J14" s="16">
        <f>IF(H14=0, 0, ROUND(SUM(H$3:H14)-SUM(G$3:G14),0))</f>
        <v>415</v>
      </c>
      <c r="K14" s="16">
        <f t="shared" si="2"/>
        <v>16000</v>
      </c>
      <c r="L14" s="15">
        <f>IF($F14&gt;=$B$14, 0, IF(LOWER(LEFT($B$2,1))="s", ($B$3-($F14)*($B$3/ROUND($B$4*12,0)+$B$10)),$B$3-($F14*$B$6-SUM(G$3:G14)+$B$10*$F14)))</f>
        <v>2488307.6923076925</v>
      </c>
      <c r="M14" s="15">
        <f>IF(F14&gt;=ROUND($B$4*12,0),0,IF(LOWER(LEFT($B$2,1))="s", ($B$3-($B$3/ROUND($B$4*12,0))*F14),$B$3-(F14*$B$6-SUM(H$3:H14))))</f>
        <v>2504807.6923076925</v>
      </c>
    </row>
    <row r="15" spans="1:13" x14ac:dyDescent="0.6">
      <c r="A15" s="4" t="s">
        <v>18</v>
      </c>
      <c r="B15" s="29" t="str">
        <f>IF($B$3&lt;=0,"0 år 0 måneder",IF(ROUND($B$4*12,0) &lt; $B$14, "- ", "")&amp; INT(ABS( ROUND($B$4*12,0)/12 - $B$14/12 )) &amp;" år og " &amp; ROUNDUP(ROUND( ((ABS( ROUND($B$4*12,0)/12 -$B$14/12)) - INT(ABS( ROUND($B$4*12,0)/12 -$B$14/12))) *12,6),0) &amp; " måneder")</f>
        <v>3 år og 8 måneder</v>
      </c>
      <c r="C15" s="30"/>
      <c r="D15" s="30"/>
      <c r="E15" s="25"/>
      <c r="F15" s="10">
        <v>13</v>
      </c>
      <c r="G15" s="11">
        <f>IF(F15&gt;$B$14, 0, IF(LOWER(LEFT($B$2,1))="s", ($B$3-($F15-1)*($B$3/ROUND($B$4*12,0)+$B$10))*($B$5/12),IF(F15=$B$14, ($B$3-((F15-1)*($B$10+$B$6)-SUM(G$3:G14)))*($B$5/12), ABS(IPMT($B$5/12,$F15,NPER($B$5/12,-ABS($B$6)-$B$10,$B$3,0),$B$3)))))</f>
        <v>11384.007692307694</v>
      </c>
      <c r="H15" s="12">
        <f t="shared" si="0"/>
        <v>11459.495192307693</v>
      </c>
      <c r="I15" s="11">
        <f t="shared" si="1"/>
        <v>75.487499999999272</v>
      </c>
      <c r="J15" s="12">
        <f>IF(H15=0, 0, ROUND(SUM(H$3:H15)-SUM(G$3:G15),0))</f>
        <v>491</v>
      </c>
      <c r="K15" s="12">
        <f t="shared" si="2"/>
        <v>17000</v>
      </c>
      <c r="L15" s="11">
        <f>IF($F15&gt;=$B$14, 0, IF(LOWER(LEFT($B$2,1))="s", ($B$3-($F15)*($B$3/ROUND($B$4*12,0)+$B$10)),$B$3-($F15*$B$6-SUM(G$3:G15)+$B$10*$F15)))</f>
        <v>2478583.3333333335</v>
      </c>
      <c r="M15" s="11">
        <f>IF(F15&gt;=ROUND($B$4*12,0),0,IF(LOWER(LEFT($B$2,1))="s", ($B$3-($B$3/ROUND($B$4*12,0))*F15),$B$3-(F15*$B$6-SUM(H$3:H15))))</f>
        <v>2496458.3333333335</v>
      </c>
    </row>
    <row r="16" spans="1:13" x14ac:dyDescent="0.6">
      <c r="A16" s="4"/>
      <c r="B16" s="31"/>
      <c r="C16" s="30"/>
      <c r="D16" s="30"/>
      <c r="E16" s="32"/>
      <c r="F16" s="14">
        <v>14</v>
      </c>
      <c r="G16" s="15">
        <f>IF(F16&gt;$B$14, 0, IF(LOWER(LEFT($B$2,1))="s", ($B$3-($F16-1)*($B$3/ROUND($B$4*12,0)+$B$10))*($B$5/12),IF(F16=$B$14, ($B$3-((F16-1)*($B$10+$B$6)-SUM(G$3:G15)))*($B$5/12), ABS(IPMT($B$5/12,$F16,NPER($B$5/12,-ABS($B$6)-$B$10,$B$3,0),$B$3)))))</f>
        <v>11339.518750000001</v>
      </c>
      <c r="H16" s="16">
        <f t="shared" si="0"/>
        <v>11421.296875</v>
      </c>
      <c r="I16" s="15">
        <f t="shared" si="1"/>
        <v>81.778124999998909</v>
      </c>
      <c r="J16" s="16">
        <f>IF(H16=0, 0, ROUND(SUM(H$3:H16)-SUM(G$3:G16),0))</f>
        <v>572</v>
      </c>
      <c r="K16" s="16">
        <f t="shared" si="2"/>
        <v>19000</v>
      </c>
      <c r="L16" s="15">
        <f>IF($F16&gt;=$B$14, 0, IF(LOWER(LEFT($B$2,1))="s", ($B$3-($F16)*($B$3/ROUND($B$4*12,0)+$B$10)),$B$3-($F16*$B$6-SUM(G$3:G16)+$B$10*$F16)))</f>
        <v>2468858.9743589745</v>
      </c>
      <c r="M16" s="15">
        <f>IF(F16&gt;=ROUND($B$4*12,0),0,IF(LOWER(LEFT($B$2,1))="s", ($B$3-($B$3/ROUND($B$4*12,0))*F16),$B$3-(F16*$B$6-SUM(H$3:H16))))</f>
        <v>2488108.9743589745</v>
      </c>
    </row>
    <row r="17" spans="1:250" x14ac:dyDescent="0.6">
      <c r="A17" s="4"/>
      <c r="B17" s="33"/>
      <c r="C17" s="33"/>
      <c r="D17" s="33"/>
      <c r="E17" s="23"/>
      <c r="F17" s="10">
        <v>15</v>
      </c>
      <c r="G17" s="11">
        <f>IF(F17&gt;$B$14, 0, IF(LOWER(LEFT($B$2,1))="s", ($B$3-($F17-1)*($B$3/ROUND($B$4*12,0)+$B$10))*($B$5/12),IF(F17=$B$14, ($B$3-((F17-1)*($B$10+$B$6)-SUM(G$3:G16)))*($B$5/12), ABS(IPMT($B$5/12,$F17,NPER($B$5/12,-ABS($B$6)-$B$10,$B$3,0),$B$3)))))</f>
        <v>11295.029807692308</v>
      </c>
      <c r="H17" s="12">
        <f t="shared" si="0"/>
        <v>11383.098557692309</v>
      </c>
      <c r="I17" s="11">
        <f t="shared" si="1"/>
        <v>88.068750000000364</v>
      </c>
      <c r="J17" s="12">
        <f>IF(H17=0, 0, ROUND(SUM(H$3:H17)-SUM(G$3:G17),0))</f>
        <v>661</v>
      </c>
      <c r="K17" s="12">
        <f t="shared" si="2"/>
        <v>20000</v>
      </c>
      <c r="L17" s="11">
        <f>IF($F17&gt;=$B$14, 0, IF(LOWER(LEFT($B$2,1))="s", ($B$3-($F17)*($B$3/ROUND($B$4*12,0)+$B$10)),$B$3-($F17*$B$6-SUM(G$3:G17)+$B$10*$F17)))</f>
        <v>2459134.6153846155</v>
      </c>
      <c r="M17" s="11">
        <f>IF(F17&gt;=ROUND($B$4*12,0),0,IF(LOWER(LEFT($B$2,1))="s", ($B$3-($B$3/ROUND($B$4*12,0))*F17),$B$3-(F17*$B$6-SUM(H$3:H17))))</f>
        <v>2479759.6153846155</v>
      </c>
      <c r="N17" s="34"/>
      <c r="O17" s="34"/>
      <c r="P17" s="34"/>
      <c r="Q17" s="34"/>
      <c r="R17" s="34"/>
      <c r="S17" s="34"/>
      <c r="T17" s="34"/>
      <c r="U17" s="34"/>
      <c r="V17" s="34"/>
      <c r="W17" s="34"/>
      <c r="X17" s="34"/>
      <c r="Y17" s="34"/>
      <c r="Z17" s="34"/>
      <c r="AA17" s="34"/>
      <c r="AB17" s="34"/>
      <c r="AC17" s="34"/>
      <c r="AD17" s="34"/>
      <c r="AE17" s="34"/>
      <c r="AF17" s="34"/>
      <c r="AG17" s="34"/>
      <c r="AH17" s="34"/>
      <c r="AI17" s="34"/>
      <c r="AJ17" s="34"/>
      <c r="AK17" s="34"/>
      <c r="AL17" s="34"/>
      <c r="AM17" s="34"/>
      <c r="AN17" s="34"/>
      <c r="AO17" s="34"/>
      <c r="AP17" s="34"/>
      <c r="AQ17" s="34"/>
      <c r="AR17" s="34"/>
      <c r="AS17" s="34"/>
      <c r="AT17" s="34"/>
      <c r="AU17" s="34"/>
      <c r="AV17" s="34"/>
      <c r="AW17" s="34"/>
      <c r="AX17" s="34"/>
      <c r="AY17" s="34"/>
      <c r="AZ17" s="34"/>
      <c r="BA17" s="34"/>
      <c r="BB17" s="34"/>
      <c r="BC17" s="34"/>
      <c r="BD17" s="34"/>
      <c r="BE17" s="34"/>
      <c r="BF17" s="34"/>
      <c r="BG17" s="34"/>
      <c r="BH17" s="34"/>
      <c r="BI17" s="34"/>
      <c r="BJ17" s="34"/>
      <c r="BK17" s="34"/>
      <c r="BL17" s="34"/>
      <c r="BM17" s="34"/>
      <c r="BN17" s="34"/>
      <c r="BO17" s="34"/>
      <c r="BP17" s="34"/>
      <c r="BQ17" s="34"/>
      <c r="BR17" s="34"/>
      <c r="BS17" s="34"/>
      <c r="BT17" s="34"/>
      <c r="BU17" s="34"/>
      <c r="BV17" s="34"/>
      <c r="BW17" s="34"/>
      <c r="BX17" s="34"/>
      <c r="BY17" s="34"/>
      <c r="BZ17" s="34"/>
      <c r="CA17" s="34"/>
      <c r="CB17" s="34"/>
      <c r="CC17" s="34"/>
      <c r="CD17" s="34"/>
      <c r="CE17" s="34"/>
      <c r="CF17" s="34"/>
      <c r="CG17" s="34"/>
      <c r="CH17" s="34"/>
      <c r="CI17" s="34"/>
      <c r="CJ17" s="34"/>
      <c r="CK17" s="34"/>
      <c r="CL17" s="34"/>
      <c r="CM17" s="34"/>
      <c r="CN17" s="34"/>
      <c r="CO17" s="34"/>
      <c r="CP17" s="34"/>
      <c r="CQ17" s="34"/>
      <c r="CR17" s="34"/>
      <c r="CS17" s="34"/>
      <c r="CT17" s="34"/>
      <c r="CU17" s="34"/>
      <c r="CV17" s="34"/>
      <c r="CW17" s="34"/>
      <c r="CX17" s="34"/>
      <c r="CY17" s="34"/>
      <c r="CZ17" s="34"/>
      <c r="DA17" s="34"/>
      <c r="DB17" s="34"/>
      <c r="DC17" s="34"/>
      <c r="DD17" s="34"/>
      <c r="DE17" s="34"/>
      <c r="DF17" s="34"/>
      <c r="DG17" s="34"/>
      <c r="DH17" s="34"/>
      <c r="DI17" s="34"/>
      <c r="DJ17" s="34"/>
      <c r="DK17" s="34"/>
      <c r="DL17" s="34"/>
      <c r="DM17" s="34"/>
      <c r="DN17" s="34"/>
      <c r="DO17" s="34"/>
      <c r="DP17" s="34"/>
      <c r="DQ17" s="34"/>
      <c r="DR17" s="34"/>
      <c r="DS17" s="34"/>
      <c r="DT17" s="34"/>
      <c r="DU17" s="34"/>
      <c r="DV17" s="34"/>
      <c r="DW17" s="34"/>
      <c r="DX17" s="34"/>
      <c r="DY17" s="34"/>
      <c r="DZ17" s="34"/>
      <c r="EA17" s="34"/>
      <c r="EB17" s="34"/>
      <c r="EC17" s="34"/>
      <c r="ED17" s="34"/>
      <c r="EE17" s="34"/>
      <c r="EF17" s="34"/>
      <c r="EG17" s="34"/>
      <c r="EH17" s="34"/>
      <c r="EI17" s="34"/>
      <c r="EJ17" s="34"/>
      <c r="EK17" s="34"/>
      <c r="EL17" s="34"/>
      <c r="EM17" s="34"/>
      <c r="EN17" s="34"/>
      <c r="EO17" s="34"/>
      <c r="EP17" s="34"/>
      <c r="EQ17" s="34"/>
      <c r="ER17" s="34"/>
      <c r="ES17" s="34"/>
      <c r="ET17" s="34"/>
      <c r="EU17" s="34"/>
      <c r="EV17" s="34"/>
      <c r="EW17" s="34"/>
      <c r="EX17" s="34"/>
      <c r="EY17" s="34"/>
      <c r="EZ17" s="34"/>
      <c r="FA17" s="34"/>
      <c r="FB17" s="34"/>
      <c r="FC17" s="34"/>
      <c r="FD17" s="34"/>
      <c r="FE17" s="34"/>
      <c r="FF17" s="34"/>
      <c r="FG17" s="34"/>
      <c r="FH17" s="34"/>
      <c r="FI17" s="34"/>
      <c r="FJ17" s="34"/>
      <c r="FK17" s="34"/>
      <c r="FL17" s="34"/>
      <c r="FM17" s="34"/>
      <c r="FN17" s="34"/>
      <c r="FO17" s="34"/>
      <c r="FP17" s="34"/>
      <c r="FQ17" s="34"/>
      <c r="FR17" s="34"/>
      <c r="FS17" s="34"/>
      <c r="FT17" s="34"/>
      <c r="FU17" s="34"/>
      <c r="FV17" s="34"/>
      <c r="FW17" s="34"/>
      <c r="FX17" s="34"/>
      <c r="FY17" s="34"/>
      <c r="FZ17" s="34"/>
      <c r="GA17" s="34"/>
      <c r="GB17" s="34"/>
      <c r="GC17" s="34"/>
      <c r="GD17" s="34"/>
      <c r="GE17" s="34"/>
      <c r="GF17" s="34"/>
      <c r="GG17" s="34"/>
      <c r="GH17" s="34"/>
      <c r="GI17" s="34"/>
      <c r="GJ17" s="34"/>
      <c r="GK17" s="34"/>
      <c r="GL17" s="34"/>
      <c r="GM17" s="34"/>
      <c r="GN17" s="34"/>
      <c r="GO17" s="34"/>
      <c r="GP17" s="34"/>
      <c r="GQ17" s="34"/>
      <c r="GR17" s="34"/>
      <c r="GS17" s="34"/>
      <c r="GT17" s="34"/>
      <c r="GU17" s="34"/>
      <c r="GV17" s="34"/>
      <c r="GW17" s="34"/>
      <c r="GX17" s="34"/>
      <c r="GY17" s="34"/>
      <c r="GZ17" s="34"/>
      <c r="HA17" s="34"/>
      <c r="HB17" s="34"/>
      <c r="HC17" s="34"/>
      <c r="HD17" s="34"/>
      <c r="HE17" s="34"/>
      <c r="HF17" s="34"/>
      <c r="HG17" s="34"/>
      <c r="HH17" s="34"/>
      <c r="HI17" s="34"/>
      <c r="HJ17" s="34"/>
      <c r="HK17" s="34"/>
      <c r="HL17" s="34"/>
      <c r="HM17" s="34"/>
      <c r="HN17" s="34"/>
      <c r="HO17" s="34"/>
      <c r="HP17" s="34"/>
      <c r="HQ17" s="34"/>
      <c r="HR17" s="34"/>
      <c r="HS17" s="34"/>
      <c r="HT17" s="34"/>
      <c r="HU17" s="34"/>
      <c r="HV17" s="34"/>
      <c r="HW17" s="34"/>
      <c r="HX17" s="34"/>
      <c r="HY17" s="34"/>
      <c r="HZ17" s="34"/>
      <c r="IA17" s="34"/>
      <c r="IB17" s="34"/>
      <c r="IC17" s="34"/>
      <c r="ID17" s="34"/>
      <c r="IE17" s="34"/>
      <c r="IF17" s="34"/>
      <c r="IG17" s="34"/>
      <c r="IH17" s="34"/>
      <c r="II17" s="34"/>
      <c r="IJ17" s="34"/>
      <c r="IK17" s="34"/>
      <c r="IL17" s="34"/>
      <c r="IM17" s="34"/>
      <c r="IN17" s="34"/>
      <c r="IO17" s="34"/>
      <c r="IP17" s="34"/>
    </row>
    <row r="18" spans="1:250" x14ac:dyDescent="0.6">
      <c r="A18" s="1" t="s">
        <v>19</v>
      </c>
      <c r="B18" s="33"/>
      <c r="C18" s="33"/>
      <c r="D18" s="33"/>
      <c r="E18" s="32"/>
      <c r="F18" s="14">
        <v>16</v>
      </c>
      <c r="G18" s="15">
        <f>IF(F18&gt;$B$14, 0, IF(LOWER(LEFT($B$2,1))="s", ($B$3-($F18-1)*($B$3/ROUND($B$4*12,0)+$B$10))*($B$5/12),IF(F18=$B$14, ($B$3-((F18-1)*($B$10+$B$6)-SUM(G$3:G17)))*($B$5/12), ABS(IPMT($B$5/12,$F18,NPER($B$5/12,-ABS($B$6)-$B$10,$B$3,0),$B$3)))))</f>
        <v>11250.540865384615</v>
      </c>
      <c r="H18" s="16">
        <f t="shared" si="0"/>
        <v>11344.900240384615</v>
      </c>
      <c r="I18" s="15">
        <f t="shared" si="1"/>
        <v>94.359375</v>
      </c>
      <c r="J18" s="16">
        <f>IF(H18=0, 0, ROUND(SUM(H$3:H18)-SUM(G$3:G18),0))</f>
        <v>755</v>
      </c>
      <c r="K18" s="16">
        <f t="shared" si="2"/>
        <v>22000</v>
      </c>
      <c r="L18" s="15">
        <f>IF($F18&gt;=$B$14, 0, IF(LOWER(LEFT($B$2,1))="s", ($B$3-($F18)*($B$3/ROUND($B$4*12,0)+$B$10)),$B$3-($F18*$B$6-SUM(G$3:G18)+$B$10*$F18)))</f>
        <v>2449410.2564102565</v>
      </c>
      <c r="M18" s="15">
        <f>IF(F18&gt;=ROUND($B$4*12,0),0,IF(LOWER(LEFT($B$2,1))="s", ($B$3-($B$3/ROUND($B$4*12,0))*F18),$B$3-(F18*$B$6-SUM(H$3:H18))))</f>
        <v>2471410.2564102565</v>
      </c>
    </row>
    <row r="19" spans="1:250" x14ac:dyDescent="0.6">
      <c r="A19" s="26" t="s">
        <v>20</v>
      </c>
      <c r="B19" s="35">
        <f>IF($B$4&gt;30,"Feil: Nedbetalingstid", SUM(H3:H362))</f>
        <v>1865147.4375000002</v>
      </c>
      <c r="C19" s="36"/>
      <c r="D19" s="36"/>
      <c r="E19" s="32"/>
      <c r="F19" s="10">
        <v>17</v>
      </c>
      <c r="G19" s="11">
        <f>IF(F19&gt;$B$14, 0, IF(LOWER(LEFT($B$2,1))="s", ($B$3-($F19-1)*($B$3/ROUND($B$4*12,0)+$B$10))*($B$5/12),IF(F19=$B$14, ($B$3-((F19-1)*($B$10+$B$6)-SUM(G$3:G18)))*($B$5/12), ABS(IPMT($B$5/12,$F19,NPER($B$5/12,-ABS($B$6)-$B$10,$B$3,0),$B$3)))))</f>
        <v>11206.051923076924</v>
      </c>
      <c r="H19" s="12">
        <f t="shared" si="0"/>
        <v>11306.701923076924</v>
      </c>
      <c r="I19" s="11">
        <f t="shared" si="1"/>
        <v>100.64999999999964</v>
      </c>
      <c r="J19" s="12">
        <f>IF(H19=0, 0, ROUND(SUM(H$3:H19)-SUM(G$3:G19),0))</f>
        <v>856</v>
      </c>
      <c r="K19" s="12">
        <f t="shared" si="2"/>
        <v>23000</v>
      </c>
      <c r="L19" s="11">
        <f>IF($F19&gt;=$B$14, 0, IF(LOWER(LEFT($B$2,1))="s", ($B$3-($F19)*($B$3/ROUND($B$4*12,0)+$B$10)),$B$3-($F19*$B$6-SUM(G$3:G19)+$B$10*$F19)))</f>
        <v>2439685.8974358975</v>
      </c>
      <c r="M19" s="11">
        <f>IF(F19&gt;=ROUND($B$4*12,0),0,IF(LOWER(LEFT($B$2,1))="s", ($B$3-($B$3/ROUND($B$4*12,0))*F19),$B$3-(F19*$B$6-SUM(H$3:H19))))</f>
        <v>2463060.8974358975</v>
      </c>
    </row>
    <row r="20" spans="1:250" x14ac:dyDescent="0.6">
      <c r="A20" s="26" t="s">
        <v>21</v>
      </c>
      <c r="B20" s="37">
        <f>IF($B$14&gt;360,"Feil: Nedbetalingstid", SUM(G3:G362))</f>
        <v>1602265.1221153848</v>
      </c>
      <c r="C20" s="38"/>
      <c r="D20" s="38"/>
      <c r="E20" s="32"/>
      <c r="F20" s="14">
        <v>18</v>
      </c>
      <c r="G20" s="15">
        <f>IF(F20&gt;$B$14, 0, IF(LOWER(LEFT($B$2,1))="s", ($B$3-($F20-1)*($B$3/ROUND($B$4*12,0)+$B$10))*($B$5/12),IF(F20=$B$14, ($B$3-((F20-1)*($B$10+$B$6)-SUM(G$3:G19)))*($B$5/12), ABS(IPMT($B$5/12,$F20,NPER($B$5/12,-ABS($B$6)-$B$10,$B$3,0),$B$3)))))</f>
        <v>11161.562980769231</v>
      </c>
      <c r="H20" s="16">
        <f t="shared" si="0"/>
        <v>11268.50360576923</v>
      </c>
      <c r="I20" s="15">
        <f t="shared" si="1"/>
        <v>106.94062499999927</v>
      </c>
      <c r="J20" s="16">
        <f>IF(H20=0, 0, ROUND(SUM(H$3:H20)-SUM(G$3:G20),0))</f>
        <v>962</v>
      </c>
      <c r="K20" s="16">
        <f t="shared" si="2"/>
        <v>24000</v>
      </c>
      <c r="L20" s="15">
        <f>IF($F20&gt;=$B$14, 0, IF(LOWER(LEFT($B$2,1))="s", ($B$3-($F20)*($B$3/ROUND($B$4*12,0)+$B$10)),$B$3-($F20*$B$6-SUM(G$3:G20)+$B$10*$F20)))</f>
        <v>2429961.5384615385</v>
      </c>
      <c r="M20" s="15">
        <f>IF(F20&gt;=ROUND($B$4*12,0),0,IF(LOWER(LEFT($B$2,1))="s", ($B$3-($B$3/ROUND($B$4*12,0))*F20),$B$3-(F20*$B$6-SUM(H$3:H20))))</f>
        <v>2454711.5384615385</v>
      </c>
    </row>
    <row r="21" spans="1:250" x14ac:dyDescent="0.6">
      <c r="A21" s="4" t="s">
        <v>22</v>
      </c>
      <c r="B21" s="39">
        <f>IF(OR($B$4&gt;30,$B$14&gt;360),"Feil: Nedbetalingstid", $B$19-$B$20)</f>
        <v>262882.31538461545</v>
      </c>
      <c r="C21" s="40"/>
      <c r="D21" s="40"/>
      <c r="E21" s="23"/>
      <c r="F21" s="10">
        <v>19</v>
      </c>
      <c r="G21" s="11">
        <f>IF(F21&gt;$B$14, 0, IF(LOWER(LEFT($B$2,1))="s", ($B$3-($F21-1)*($B$3/ROUND($B$4*12,0)+$B$10))*($B$5/12),IF(F21=$B$14, ($B$3-((F21-1)*($B$10+$B$6)-SUM(G$3:G20)))*($B$5/12), ABS(IPMT($B$5/12,$F21,NPER($B$5/12,-ABS($B$6)-$B$10,$B$3,0),$B$3)))))</f>
        <v>11117.074038461538</v>
      </c>
      <c r="H21" s="12">
        <f t="shared" si="0"/>
        <v>11230.305288461539</v>
      </c>
      <c r="I21" s="11">
        <f t="shared" si="1"/>
        <v>113.23125000000073</v>
      </c>
      <c r="J21" s="12">
        <f>IF(H21=0, 0, ROUND(SUM(H$3:H21)-SUM(G$3:G21),0))</f>
        <v>1076</v>
      </c>
      <c r="K21" s="12">
        <f t="shared" si="2"/>
        <v>26000</v>
      </c>
      <c r="L21" s="11">
        <f>IF($F21&gt;=$B$14, 0, IF(LOWER(LEFT($B$2,1))="s", ($B$3-($F21)*($B$3/ROUND($B$4*12,0)+$B$10)),$B$3-($F21*$B$6-SUM(G$3:G21)+$B$10*$F21)))</f>
        <v>2420237.1794871795</v>
      </c>
      <c r="M21" s="11">
        <f>IF(F21&gt;=ROUND($B$4*12,0),0,IF(LOWER(LEFT($B$2,1))="s", ($B$3-($B$3/ROUND($B$4*12,0))*F21),$B$3-(F21*$B$6-SUM(H$3:H21))))</f>
        <v>2446362.1794871795</v>
      </c>
    </row>
    <row r="22" spans="1:250" x14ac:dyDescent="0.6">
      <c r="A22" s="4"/>
      <c r="B22" s="41"/>
      <c r="C22" s="17"/>
      <c r="D22" s="17"/>
      <c r="E22" s="25"/>
      <c r="F22" s="14">
        <v>20</v>
      </c>
      <c r="G22" s="15">
        <f>IF(F22&gt;$B$14, 0, IF(LOWER(LEFT($B$2,1))="s", ($B$3-($F22-1)*($B$3/ROUND($B$4*12,0)+$B$10))*($B$5/12),IF(F22=$B$14, ($B$3-((F22-1)*($B$10+$B$6)-SUM(G$3:G21)))*($B$5/12), ABS(IPMT($B$5/12,$F22,NPER($B$5/12,-ABS($B$6)-$B$10,$B$3,0),$B$3)))))</f>
        <v>11072.585096153847</v>
      </c>
      <c r="H22" s="16">
        <f t="shared" si="0"/>
        <v>11192.106971153846</v>
      </c>
      <c r="I22" s="15">
        <f t="shared" si="1"/>
        <v>119.52187499999854</v>
      </c>
      <c r="J22" s="16">
        <f>IF(H22=0, 0, ROUND(SUM(H$3:H22)-SUM(G$3:G22),0))</f>
        <v>1195</v>
      </c>
      <c r="K22" s="16">
        <f t="shared" si="2"/>
        <v>27000</v>
      </c>
      <c r="L22" s="15">
        <f>IF($F22&gt;=$B$14, 0, IF(LOWER(LEFT($B$2,1))="s", ($B$3-($F22)*($B$3/ROUND($B$4*12,0)+$B$10)),$B$3-($F22*$B$6-SUM(G$3:G22)+$B$10*$F22)))</f>
        <v>2410512.8205128205</v>
      </c>
      <c r="M22" s="15">
        <f>IF(F22&gt;=ROUND($B$4*12,0),0,IF(LOWER(LEFT($B$2,1))="s", ($B$3-($B$3/ROUND($B$4*12,0))*F22),$B$3-(F22*$B$6-SUM(H$3:H22))))</f>
        <v>2438012.8205128205</v>
      </c>
      <c r="N22" s="34"/>
      <c r="O22" s="34"/>
      <c r="P22" s="34"/>
      <c r="Q22" s="34"/>
      <c r="R22" s="34"/>
      <c r="S22" s="34"/>
      <c r="T22" s="34"/>
      <c r="U22" s="34"/>
      <c r="V22" s="34"/>
      <c r="W22" s="34"/>
      <c r="X22" s="34"/>
      <c r="Y22" s="34"/>
      <c r="Z22" s="34"/>
      <c r="AA22" s="34"/>
      <c r="AB22" s="34"/>
      <c r="AC22" s="34"/>
      <c r="AD22" s="34"/>
      <c r="AE22" s="34"/>
      <c r="AF22" s="34"/>
      <c r="AG22" s="34"/>
      <c r="AH22" s="34"/>
      <c r="AI22" s="34"/>
      <c r="AJ22" s="34"/>
      <c r="AK22" s="34"/>
      <c r="AL22" s="34"/>
      <c r="AM22" s="34"/>
      <c r="AN22" s="34"/>
      <c r="AO22" s="34"/>
      <c r="AP22" s="34"/>
      <c r="AQ22" s="34"/>
      <c r="AR22" s="34"/>
      <c r="AS22" s="34"/>
      <c r="AT22" s="34"/>
      <c r="AU22" s="34"/>
      <c r="AV22" s="34"/>
      <c r="AW22" s="34"/>
      <c r="AX22" s="34"/>
      <c r="AY22" s="34"/>
      <c r="AZ22" s="34"/>
      <c r="BA22" s="34"/>
      <c r="BB22" s="34"/>
      <c r="BC22" s="34"/>
      <c r="BD22" s="34"/>
      <c r="BE22" s="34"/>
      <c r="BF22" s="34"/>
      <c r="BG22" s="34"/>
      <c r="BH22" s="34"/>
      <c r="BI22" s="34"/>
      <c r="BJ22" s="34"/>
      <c r="BK22" s="34"/>
      <c r="BL22" s="34"/>
      <c r="BM22" s="34"/>
      <c r="BN22" s="34"/>
      <c r="BO22" s="34"/>
      <c r="BP22" s="34"/>
      <c r="BQ22" s="34"/>
      <c r="BR22" s="34"/>
      <c r="BS22" s="34"/>
      <c r="BT22" s="34"/>
      <c r="BU22" s="34"/>
      <c r="BV22" s="34"/>
      <c r="BW22" s="34"/>
      <c r="BX22" s="34"/>
      <c r="BY22" s="34"/>
      <c r="BZ22" s="34"/>
      <c r="CA22" s="34"/>
      <c r="CB22" s="34"/>
      <c r="CC22" s="34"/>
      <c r="CD22" s="34"/>
      <c r="CE22" s="34"/>
      <c r="CF22" s="34"/>
      <c r="CG22" s="34"/>
      <c r="CH22" s="34"/>
      <c r="CI22" s="34"/>
      <c r="CJ22" s="34"/>
      <c r="CK22" s="34"/>
      <c r="CL22" s="34"/>
      <c r="CM22" s="34"/>
      <c r="CN22" s="34"/>
      <c r="CO22" s="34"/>
      <c r="CP22" s="34"/>
      <c r="CQ22" s="34"/>
      <c r="CR22" s="34"/>
      <c r="CS22" s="34"/>
      <c r="CT22" s="34"/>
      <c r="CU22" s="34"/>
      <c r="CV22" s="34"/>
      <c r="CW22" s="34"/>
      <c r="CX22" s="34"/>
      <c r="CY22" s="34"/>
      <c r="CZ22" s="34"/>
      <c r="DA22" s="34"/>
      <c r="DB22" s="34"/>
      <c r="DC22" s="34"/>
      <c r="DD22" s="34"/>
      <c r="DE22" s="34"/>
      <c r="DF22" s="34"/>
      <c r="DG22" s="34"/>
      <c r="DH22" s="34"/>
      <c r="DI22" s="34"/>
      <c r="DJ22" s="34"/>
      <c r="DK22" s="34"/>
      <c r="DL22" s="34"/>
      <c r="DM22" s="34"/>
      <c r="DN22" s="34"/>
      <c r="DO22" s="34"/>
      <c r="DP22" s="34"/>
      <c r="DQ22" s="34"/>
      <c r="DR22" s="34"/>
      <c r="DS22" s="34"/>
      <c r="DT22" s="34"/>
      <c r="DU22" s="34"/>
      <c r="DV22" s="34"/>
      <c r="DW22" s="34"/>
      <c r="DX22" s="34"/>
      <c r="DY22" s="34"/>
      <c r="DZ22" s="34"/>
      <c r="EA22" s="34"/>
      <c r="EB22" s="34"/>
      <c r="EC22" s="34"/>
      <c r="ED22" s="34"/>
      <c r="EE22" s="34"/>
      <c r="EF22" s="34"/>
      <c r="EG22" s="34"/>
      <c r="EH22" s="34"/>
      <c r="EI22" s="34"/>
      <c r="EJ22" s="34"/>
      <c r="EK22" s="34"/>
      <c r="EL22" s="34"/>
      <c r="EM22" s="34"/>
      <c r="EN22" s="34"/>
      <c r="EO22" s="34"/>
      <c r="EP22" s="34"/>
      <c r="EQ22" s="34"/>
      <c r="ER22" s="34"/>
      <c r="ES22" s="34"/>
      <c r="ET22" s="34"/>
      <c r="EU22" s="34"/>
      <c r="EV22" s="34"/>
      <c r="EW22" s="34"/>
      <c r="EX22" s="34"/>
      <c r="EY22" s="34"/>
      <c r="EZ22" s="34"/>
      <c r="FA22" s="34"/>
      <c r="FB22" s="34"/>
      <c r="FC22" s="34"/>
      <c r="FD22" s="34"/>
      <c r="FE22" s="34"/>
      <c r="FF22" s="34"/>
      <c r="FG22" s="34"/>
      <c r="FH22" s="34"/>
      <c r="FI22" s="34"/>
      <c r="FJ22" s="34"/>
      <c r="FK22" s="34"/>
      <c r="FL22" s="34"/>
      <c r="FM22" s="34"/>
      <c r="FN22" s="34"/>
      <c r="FO22" s="34"/>
      <c r="FP22" s="34"/>
      <c r="FQ22" s="34"/>
      <c r="FR22" s="34"/>
      <c r="FS22" s="34"/>
      <c r="FT22" s="34"/>
      <c r="FU22" s="34"/>
      <c r="FV22" s="34"/>
      <c r="FW22" s="34"/>
      <c r="FX22" s="34"/>
      <c r="FY22" s="34"/>
      <c r="FZ22" s="34"/>
      <c r="GA22" s="34"/>
      <c r="GB22" s="34"/>
      <c r="GC22" s="34"/>
      <c r="GD22" s="34"/>
      <c r="GE22" s="34"/>
      <c r="GF22" s="34"/>
      <c r="GG22" s="34"/>
      <c r="GH22" s="34"/>
      <c r="GI22" s="34"/>
      <c r="GJ22" s="34"/>
      <c r="GK22" s="34"/>
      <c r="GL22" s="34"/>
      <c r="GM22" s="34"/>
      <c r="GN22" s="34"/>
      <c r="GO22" s="34"/>
      <c r="GP22" s="34"/>
      <c r="GQ22" s="34"/>
      <c r="GR22" s="34"/>
      <c r="GS22" s="34"/>
      <c r="GT22" s="34"/>
      <c r="GU22" s="34"/>
      <c r="GV22" s="34"/>
      <c r="GW22" s="34"/>
      <c r="GX22" s="34"/>
      <c r="GY22" s="34"/>
      <c r="GZ22" s="34"/>
      <c r="HA22" s="34"/>
      <c r="HB22" s="34"/>
      <c r="HC22" s="34"/>
      <c r="HD22" s="34"/>
      <c r="HE22" s="34"/>
      <c r="HF22" s="34"/>
      <c r="HG22" s="34"/>
      <c r="HH22" s="34"/>
      <c r="HI22" s="34"/>
      <c r="HJ22" s="34"/>
      <c r="HK22" s="34"/>
      <c r="HL22" s="34"/>
      <c r="HM22" s="34"/>
      <c r="HN22" s="34"/>
      <c r="HO22" s="34"/>
      <c r="HP22" s="34"/>
      <c r="HQ22" s="34"/>
      <c r="HR22" s="34"/>
      <c r="HS22" s="34"/>
      <c r="HT22" s="34"/>
      <c r="HU22" s="34"/>
      <c r="HV22" s="34"/>
      <c r="HW22" s="34"/>
      <c r="HX22" s="34"/>
      <c r="HY22" s="34"/>
      <c r="HZ22" s="34"/>
      <c r="IA22" s="34"/>
      <c r="IB22" s="34"/>
      <c r="IC22" s="34"/>
      <c r="ID22" s="34"/>
      <c r="IE22" s="34"/>
      <c r="IF22" s="34"/>
      <c r="IG22" s="34"/>
      <c r="IH22" s="34"/>
      <c r="II22" s="34"/>
      <c r="IJ22" s="34"/>
      <c r="IK22" s="34"/>
      <c r="IL22" s="34"/>
      <c r="IM22" s="34"/>
      <c r="IN22" s="34"/>
      <c r="IO22" s="34"/>
      <c r="IP22" s="34"/>
    </row>
    <row r="23" spans="1:250" x14ac:dyDescent="0.6">
      <c r="A23" s="42" t="s">
        <v>23</v>
      </c>
      <c r="B23" s="4"/>
      <c r="C23" s="4"/>
      <c r="D23" s="4"/>
      <c r="E23" s="42"/>
      <c r="F23" s="10">
        <v>21</v>
      </c>
      <c r="G23" s="11">
        <f>IF(F23&gt;$B$14, 0, IF(LOWER(LEFT($B$2,1))="s", ($B$3-($F23-1)*($B$3/ROUND($B$4*12,0)+$B$10))*($B$5/12),IF(F23=$B$14, ($B$3-((F23-1)*($B$10+$B$6)-SUM(G$3:G22)))*($B$5/12), ABS(IPMT($B$5/12,$F23,NPER($B$5/12,-ABS($B$6)-$B$10,$B$3,0),$B$3)))))</f>
        <v>11028.096153846154</v>
      </c>
      <c r="H23" s="12">
        <f t="shared" si="0"/>
        <v>11153.908653846154</v>
      </c>
      <c r="I23" s="11">
        <f t="shared" si="1"/>
        <v>125.8125</v>
      </c>
      <c r="J23" s="12">
        <f>IF(H23=0, 0, ROUND(SUM(H$3:H23)-SUM(G$3:G23),0))</f>
        <v>1321</v>
      </c>
      <c r="K23" s="12">
        <f t="shared" si="2"/>
        <v>28000</v>
      </c>
      <c r="L23" s="11">
        <f>IF($F23&gt;=$B$14, 0, IF(LOWER(LEFT($B$2,1))="s", ($B$3-($F23)*($B$3/ROUND($B$4*12,0)+$B$10)),$B$3-($F23*$B$6-SUM(G$3:G23)+$B$10*$F23)))</f>
        <v>2400788.4615384615</v>
      </c>
      <c r="M23" s="11">
        <f>IF(F23&gt;=ROUND($B$4*12,0),0,IF(LOWER(LEFT($B$2,1))="s", ($B$3-($B$3/ROUND($B$4*12,0))*F23),$B$3-(F23*$B$6-SUM(H$3:H23))))</f>
        <v>2429663.4615384615</v>
      </c>
      <c r="N23" s="34"/>
      <c r="O23" s="34"/>
      <c r="P23" s="34"/>
      <c r="Q23" s="34"/>
      <c r="R23" s="34"/>
      <c r="S23" s="34"/>
      <c r="T23" s="34"/>
      <c r="U23" s="34"/>
      <c r="V23" s="34"/>
      <c r="W23" s="34"/>
      <c r="X23" s="34"/>
      <c r="Y23" s="34"/>
      <c r="Z23" s="34"/>
      <c r="AA23" s="34"/>
      <c r="AB23" s="34"/>
      <c r="AC23" s="34"/>
      <c r="AD23" s="34"/>
      <c r="AE23" s="34"/>
      <c r="AF23" s="34"/>
      <c r="AG23" s="34"/>
      <c r="AH23" s="34"/>
      <c r="AI23" s="34"/>
      <c r="AJ23" s="34"/>
      <c r="AK23" s="34"/>
      <c r="AL23" s="34"/>
      <c r="AM23" s="34"/>
      <c r="AN23" s="34"/>
      <c r="AO23" s="34"/>
      <c r="AP23" s="34"/>
      <c r="AQ23" s="34"/>
      <c r="AR23" s="34"/>
      <c r="AS23" s="34"/>
      <c r="AT23" s="34"/>
      <c r="AU23" s="34"/>
      <c r="AV23" s="34"/>
      <c r="AW23" s="34"/>
      <c r="AX23" s="34"/>
      <c r="AY23" s="34"/>
      <c r="AZ23" s="34"/>
      <c r="BA23" s="34"/>
      <c r="BB23" s="34"/>
      <c r="BC23" s="34"/>
      <c r="BD23" s="34"/>
      <c r="BE23" s="34"/>
      <c r="BF23" s="34"/>
      <c r="BG23" s="34"/>
      <c r="BH23" s="34"/>
      <c r="BI23" s="34"/>
      <c r="BJ23" s="34"/>
      <c r="BK23" s="34"/>
      <c r="BL23" s="34"/>
      <c r="BM23" s="34"/>
      <c r="BN23" s="34"/>
      <c r="BO23" s="34"/>
      <c r="BP23" s="34"/>
      <c r="BQ23" s="34"/>
      <c r="BR23" s="34"/>
      <c r="BS23" s="34"/>
      <c r="BT23" s="34"/>
      <c r="BU23" s="34"/>
      <c r="BV23" s="34"/>
      <c r="BW23" s="34"/>
      <c r="BX23" s="34"/>
      <c r="BY23" s="34"/>
      <c r="BZ23" s="34"/>
      <c r="CA23" s="34"/>
      <c r="CB23" s="34"/>
      <c r="CC23" s="34"/>
      <c r="CD23" s="34"/>
      <c r="CE23" s="34"/>
      <c r="CF23" s="34"/>
      <c r="CG23" s="34"/>
      <c r="CH23" s="34"/>
      <c r="CI23" s="34"/>
      <c r="CJ23" s="34"/>
      <c r="CK23" s="34"/>
      <c r="CL23" s="34"/>
      <c r="CM23" s="34"/>
      <c r="CN23" s="34"/>
      <c r="CO23" s="34"/>
      <c r="CP23" s="34"/>
      <c r="CQ23" s="34"/>
      <c r="CR23" s="34"/>
      <c r="CS23" s="34"/>
      <c r="CT23" s="34"/>
      <c r="CU23" s="34"/>
      <c r="CV23" s="34"/>
      <c r="CW23" s="34"/>
      <c r="CX23" s="34"/>
      <c r="CY23" s="34"/>
      <c r="CZ23" s="34"/>
      <c r="DA23" s="34"/>
      <c r="DB23" s="34"/>
      <c r="DC23" s="34"/>
      <c r="DD23" s="34"/>
      <c r="DE23" s="34"/>
      <c r="DF23" s="34"/>
      <c r="DG23" s="34"/>
      <c r="DH23" s="34"/>
      <c r="DI23" s="34"/>
      <c r="DJ23" s="34"/>
      <c r="DK23" s="34"/>
      <c r="DL23" s="34"/>
      <c r="DM23" s="34"/>
      <c r="DN23" s="34"/>
      <c r="DO23" s="34"/>
      <c r="DP23" s="34"/>
      <c r="DQ23" s="34"/>
      <c r="DR23" s="34"/>
      <c r="DS23" s="34"/>
      <c r="DT23" s="34"/>
      <c r="DU23" s="34"/>
      <c r="DV23" s="34"/>
      <c r="DW23" s="34"/>
      <c r="DX23" s="34"/>
      <c r="DY23" s="34"/>
      <c r="DZ23" s="34"/>
      <c r="EA23" s="34"/>
      <c r="EB23" s="34"/>
      <c r="EC23" s="34"/>
      <c r="ED23" s="34"/>
      <c r="EE23" s="34"/>
      <c r="EF23" s="34"/>
      <c r="EG23" s="34"/>
      <c r="EH23" s="34"/>
      <c r="EI23" s="34"/>
      <c r="EJ23" s="34"/>
      <c r="EK23" s="34"/>
      <c r="EL23" s="34"/>
      <c r="EM23" s="34"/>
      <c r="EN23" s="34"/>
      <c r="EO23" s="34"/>
      <c r="EP23" s="34"/>
      <c r="EQ23" s="34"/>
      <c r="ER23" s="34"/>
      <c r="ES23" s="34"/>
      <c r="ET23" s="34"/>
      <c r="EU23" s="34"/>
      <c r="EV23" s="34"/>
      <c r="EW23" s="34"/>
      <c r="EX23" s="34"/>
      <c r="EY23" s="34"/>
      <c r="EZ23" s="34"/>
      <c r="FA23" s="34"/>
      <c r="FB23" s="34"/>
      <c r="FC23" s="34"/>
      <c r="FD23" s="34"/>
      <c r="FE23" s="34"/>
      <c r="FF23" s="34"/>
      <c r="FG23" s="34"/>
      <c r="FH23" s="34"/>
      <c r="FI23" s="34"/>
      <c r="FJ23" s="34"/>
      <c r="FK23" s="34"/>
      <c r="FL23" s="34"/>
      <c r="FM23" s="34"/>
      <c r="FN23" s="34"/>
      <c r="FO23" s="34"/>
      <c r="FP23" s="34"/>
      <c r="FQ23" s="34"/>
      <c r="FR23" s="34"/>
      <c r="FS23" s="34"/>
      <c r="FT23" s="34"/>
      <c r="FU23" s="34"/>
      <c r="FV23" s="34"/>
      <c r="FW23" s="34"/>
      <c r="FX23" s="34"/>
      <c r="FY23" s="34"/>
      <c r="FZ23" s="34"/>
      <c r="GA23" s="34"/>
      <c r="GB23" s="34"/>
      <c r="GC23" s="34"/>
      <c r="GD23" s="34"/>
      <c r="GE23" s="34"/>
      <c r="GF23" s="34"/>
      <c r="GG23" s="34"/>
      <c r="GH23" s="34"/>
      <c r="GI23" s="34"/>
      <c r="GJ23" s="34"/>
      <c r="GK23" s="34"/>
      <c r="GL23" s="34"/>
      <c r="GM23" s="34"/>
      <c r="GN23" s="34"/>
      <c r="GO23" s="34"/>
      <c r="GP23" s="34"/>
      <c r="GQ23" s="34"/>
      <c r="GR23" s="34"/>
      <c r="GS23" s="34"/>
      <c r="GT23" s="34"/>
      <c r="GU23" s="34"/>
      <c r="GV23" s="34"/>
      <c r="GW23" s="34"/>
      <c r="GX23" s="34"/>
      <c r="GY23" s="34"/>
      <c r="GZ23" s="34"/>
      <c r="HA23" s="34"/>
      <c r="HB23" s="34"/>
      <c r="HC23" s="34"/>
      <c r="HD23" s="34"/>
      <c r="HE23" s="34"/>
      <c r="HF23" s="34"/>
      <c r="HG23" s="34"/>
      <c r="HH23" s="34"/>
      <c r="HI23" s="34"/>
      <c r="HJ23" s="34"/>
      <c r="HK23" s="34"/>
      <c r="HL23" s="34"/>
      <c r="HM23" s="34"/>
      <c r="HN23" s="34"/>
      <c r="HO23" s="34"/>
      <c r="HP23" s="34"/>
      <c r="HQ23" s="34"/>
      <c r="HR23" s="34"/>
      <c r="HS23" s="34"/>
      <c r="HT23" s="34"/>
      <c r="HU23" s="34"/>
      <c r="HV23" s="34"/>
      <c r="HW23" s="34"/>
      <c r="HX23" s="34"/>
      <c r="HY23" s="34"/>
      <c r="HZ23" s="34"/>
      <c r="IA23" s="34"/>
      <c r="IB23" s="34"/>
      <c r="IC23" s="34"/>
      <c r="ID23" s="34"/>
      <c r="IE23" s="34"/>
      <c r="IF23" s="34"/>
      <c r="IG23" s="34"/>
      <c r="IH23" s="34"/>
      <c r="II23" s="34"/>
      <c r="IJ23" s="34"/>
      <c r="IK23" s="34"/>
      <c r="IL23" s="34"/>
      <c r="IM23" s="34"/>
      <c r="IN23" s="34"/>
      <c r="IO23" s="34"/>
      <c r="IP23" s="34"/>
    </row>
    <row r="24" spans="1:250" x14ac:dyDescent="0.6">
      <c r="A24" s="42" t="s">
        <v>24</v>
      </c>
      <c r="B24" s="4"/>
      <c r="C24" s="43"/>
      <c r="D24" s="43"/>
      <c r="E24" s="44"/>
      <c r="F24" s="14">
        <v>22</v>
      </c>
      <c r="G24" s="15">
        <f>IF(F24&gt;$B$14, 0, IF(LOWER(LEFT($B$2,1))="s", ($B$3-($F24-1)*($B$3/ROUND($B$4*12,0)+$B$10))*($B$5/12),IF(F24=$B$14, ($B$3-((F24-1)*($B$10+$B$6)-SUM(G$3:G23)))*($B$5/12), ABS(IPMT($B$5/12,$F24,NPER($B$5/12,-ABS($B$6)-$B$10,$B$3,0),$B$3)))))</f>
        <v>10983.607211538461</v>
      </c>
      <c r="H24" s="16">
        <f t="shared" si="0"/>
        <v>11115.710336538461</v>
      </c>
      <c r="I24" s="15">
        <f t="shared" si="1"/>
        <v>132.10312499999964</v>
      </c>
      <c r="J24" s="16">
        <f>IF(H24=0, 0, ROUND(SUM(H$3:H24)-SUM(G$3:G24),0))</f>
        <v>1453</v>
      </c>
      <c r="K24" s="16">
        <f t="shared" si="2"/>
        <v>30000</v>
      </c>
      <c r="L24" s="15">
        <f>IF($F24&gt;=$B$14, 0, IF(LOWER(LEFT($B$2,1))="s", ($B$3-($F24)*($B$3/ROUND($B$4*12,0)+$B$10)),$B$3-($F24*$B$6-SUM(G$3:G24)+$B$10*$F24)))</f>
        <v>2391064.1025641025</v>
      </c>
      <c r="M24" s="15">
        <f>IF(F24&gt;=ROUND($B$4*12,0),0,IF(LOWER(LEFT($B$2,1))="s", ($B$3-($B$3/ROUND($B$4*12,0))*F24),$B$3-(F24*$B$6-SUM(H$3:H24))))</f>
        <v>2421314.1025641025</v>
      </c>
    </row>
    <row r="25" spans="1:250" x14ac:dyDescent="0.6">
      <c r="A25" s="42"/>
      <c r="B25" s="4"/>
      <c r="C25" s="43"/>
      <c r="D25" s="43"/>
      <c r="E25" s="23"/>
      <c r="F25" s="10">
        <v>23</v>
      </c>
      <c r="G25" s="11">
        <f>IF(F25&gt;$B$14, 0, IF(LOWER(LEFT($B$2,1))="s", ($B$3-($F25-1)*($B$3/ROUND($B$4*12,0)+$B$10))*($B$5/12),IF(F25=$B$14, ($B$3-((F25-1)*($B$10+$B$6)-SUM(G$3:G24)))*($B$5/12), ABS(IPMT($B$5/12,$F25,NPER($B$5/12,-ABS($B$6)-$B$10,$B$3,0),$B$3)))))</f>
        <v>10939.118269230768</v>
      </c>
      <c r="H25" s="12">
        <f t="shared" si="0"/>
        <v>11077.51201923077</v>
      </c>
      <c r="I25" s="11">
        <f t="shared" si="1"/>
        <v>138.39375000000109</v>
      </c>
      <c r="J25" s="12">
        <f>IF(H25=0, 0, ROUND(SUM(H$3:H25)-SUM(G$3:G25),0))</f>
        <v>1592</v>
      </c>
      <c r="K25" s="12">
        <f t="shared" si="2"/>
        <v>31000</v>
      </c>
      <c r="L25" s="11">
        <f>IF($F25&gt;=$B$14, 0, IF(LOWER(LEFT($B$2,1))="s", ($B$3-($F25)*($B$3/ROUND($B$4*12,0)+$B$10)),$B$3-($F25*$B$6-SUM(G$3:G25)+$B$10*$F25)))</f>
        <v>2381339.7435897435</v>
      </c>
      <c r="M25" s="11">
        <f>IF(F25&gt;=ROUND($B$4*12,0),0,IF(LOWER(LEFT($B$2,1))="s", ($B$3-($B$3/ROUND($B$4*12,0))*F25),$B$3-(F25*$B$6-SUM(H$3:H25))))</f>
        <v>2412964.7435897435</v>
      </c>
    </row>
    <row r="26" spans="1:250" x14ac:dyDescent="0.6">
      <c r="A26" s="4"/>
      <c r="B26" s="45"/>
      <c r="C26" s="43"/>
      <c r="D26" s="45"/>
      <c r="E26" s="23"/>
      <c r="F26" s="14">
        <v>24</v>
      </c>
      <c r="G26" s="15">
        <f>IF(F26&gt;$B$14, 0, IF(LOWER(LEFT($B$2,1))="s", ($B$3-($F26-1)*($B$3/ROUND($B$4*12,0)+$B$10))*($B$5/12),IF(F26=$B$14, ($B$3-((F26-1)*($B$10+$B$6)-SUM(G$3:G25)))*($B$5/12), ABS(IPMT($B$5/12,$F26,NPER($B$5/12,-ABS($B$6)-$B$10,$B$3,0),$B$3)))))</f>
        <v>10894.629326923077</v>
      </c>
      <c r="H26" s="16">
        <f t="shared" si="0"/>
        <v>11039.313701923076</v>
      </c>
      <c r="I26" s="15">
        <f t="shared" si="1"/>
        <v>144.68437499999891</v>
      </c>
      <c r="J26" s="16">
        <f>IF(H26=0, 0, ROUND(SUM(H$3:H26)-SUM(G$3:G26),0))</f>
        <v>1736</v>
      </c>
      <c r="K26" s="16">
        <f t="shared" si="2"/>
        <v>33000</v>
      </c>
      <c r="L26" s="15">
        <f>IF($F26&gt;=$B$14, 0, IF(LOWER(LEFT($B$2,1))="s", ($B$3-($F26)*($B$3/ROUND($B$4*12,0)+$B$10)),$B$3-($F26*$B$6-SUM(G$3:G26)+$B$10*$F26)))</f>
        <v>2371615.3846153845</v>
      </c>
      <c r="M26" s="15">
        <f>IF(F26&gt;=ROUND($B$4*12,0),0,IF(LOWER(LEFT($B$2,1))="s", ($B$3-($B$3/ROUND($B$4*12,0))*F26),$B$3-(F26*$B$6-SUM(H$3:H26))))</f>
        <v>2404615.3846153845</v>
      </c>
    </row>
    <row r="27" spans="1:250" x14ac:dyDescent="0.6">
      <c r="A27" s="1" t="s">
        <v>25</v>
      </c>
      <c r="B27" s="45"/>
      <c r="C27" s="43"/>
      <c r="D27" s="45"/>
      <c r="E27" s="23"/>
      <c r="F27" s="10">
        <v>25</v>
      </c>
      <c r="G27" s="11">
        <f>IF(F27&gt;$B$14, 0, IF(LOWER(LEFT($B$2,1))="s", ($B$3-($F27-1)*($B$3/ROUND($B$4*12,0)+$B$10))*($B$5/12),IF(F27=$B$14, ($B$3-((F27-1)*($B$10+$B$6)-SUM(G$3:G26)))*($B$5/12), ABS(IPMT($B$5/12,$F27,NPER($B$5/12,-ABS($B$6)-$B$10,$B$3,0),$B$3)))))</f>
        <v>10850.140384615384</v>
      </c>
      <c r="H27" s="12">
        <f t="shared" si="0"/>
        <v>11001.115384615385</v>
      </c>
      <c r="I27" s="11">
        <f t="shared" si="1"/>
        <v>150.97500000000036</v>
      </c>
      <c r="J27" s="12">
        <f>IF(H27=0, 0, ROUND(SUM(H$3:H27)-SUM(G$3:G27),0))</f>
        <v>1887</v>
      </c>
      <c r="K27" s="12">
        <f t="shared" si="2"/>
        <v>34000</v>
      </c>
      <c r="L27" s="11">
        <f>IF($F27&gt;=$B$14, 0, IF(LOWER(LEFT($B$2,1))="s", ($B$3-($F27)*($B$3/ROUND($B$4*12,0)+$B$10)),$B$3-($F27*$B$6-SUM(G$3:G27)+$B$10*$F27)))</f>
        <v>2361891.0256410255</v>
      </c>
      <c r="M27" s="11">
        <f>IF(F27&gt;=ROUND($B$4*12,0),0,IF(LOWER(LEFT($B$2,1))="s", ($B$3-($B$3/ROUND($B$4*12,0))*F27),$B$3-(F27*$B$6-SUM(H$3:H27))))</f>
        <v>2396266.0256410255</v>
      </c>
    </row>
    <row r="28" spans="1:250" x14ac:dyDescent="0.6">
      <c r="A28" s="45"/>
      <c r="B28" s="45"/>
      <c r="C28" s="45"/>
      <c r="D28" s="45"/>
      <c r="E28" s="23"/>
      <c r="F28" s="14">
        <v>26</v>
      </c>
      <c r="G28" s="15">
        <f>IF(F28&gt;$B$14, 0, IF(LOWER(LEFT($B$2,1))="s", ($B$3-($F28-1)*($B$3/ROUND($B$4*12,0)+$B$10))*($B$5/12),IF(F28=$B$14, ($B$3-((F28-1)*($B$10+$B$6)-SUM(G$3:G27)))*($B$5/12), ABS(IPMT($B$5/12,$F28,NPER($B$5/12,-ABS($B$6)-$B$10,$B$3,0),$B$3)))))</f>
        <v>10805.651442307691</v>
      </c>
      <c r="H28" s="16">
        <f t="shared" si="0"/>
        <v>10962.917067307691</v>
      </c>
      <c r="I28" s="15">
        <f t="shared" si="1"/>
        <v>157.265625</v>
      </c>
      <c r="J28" s="16">
        <f>IF(H28=0, 0, ROUND(SUM(H$3:H28)-SUM(G$3:G28),0))</f>
        <v>2044</v>
      </c>
      <c r="K28" s="16">
        <f t="shared" si="2"/>
        <v>35000</v>
      </c>
      <c r="L28" s="15">
        <f>IF($F28&gt;=$B$14, 0, IF(LOWER(LEFT($B$2,1))="s", ($B$3-($F28)*($B$3/ROUND($B$4*12,0)+$B$10)),$B$3-($F28*$B$6-SUM(G$3:G28)+$B$10*$F28)))</f>
        <v>2352166.6666666665</v>
      </c>
      <c r="M28" s="15">
        <f>IF(F28&gt;=ROUND($B$4*12,0),0,IF(LOWER(LEFT($B$2,1))="s", ($B$3-($B$3/ROUND($B$4*12,0))*F28),$B$3-(F28*$B$6-SUM(H$3:H28))))</f>
        <v>2387916.6666666665</v>
      </c>
    </row>
    <row r="29" spans="1:250" x14ac:dyDescent="0.6">
      <c r="A29" s="4"/>
      <c r="B29" s="45"/>
      <c r="C29" s="45"/>
      <c r="D29" s="45"/>
      <c r="E29" s="23"/>
      <c r="F29" s="10">
        <v>27</v>
      </c>
      <c r="G29" s="11">
        <f>IF(F29&gt;$B$14, 0, IF(LOWER(LEFT($B$2,1))="s", ($B$3-($F29-1)*($B$3/ROUND($B$4*12,0)+$B$10))*($B$5/12),IF(F29=$B$14, ($B$3-((F29-1)*($B$10+$B$6)-SUM(G$3:G28)))*($B$5/12), ABS(IPMT($B$5/12,$F29,NPER($B$5/12,-ABS($B$6)-$B$10,$B$3,0),$B$3)))))</f>
        <v>10761.1625</v>
      </c>
      <c r="H29" s="12">
        <f t="shared" si="0"/>
        <v>10924.71875</v>
      </c>
      <c r="I29" s="11">
        <f t="shared" si="1"/>
        <v>163.55624999999964</v>
      </c>
      <c r="J29" s="12">
        <f>IF(H29=0, 0, ROUND(SUM(H$3:H29)-SUM(G$3:G29),0))</f>
        <v>2208</v>
      </c>
      <c r="K29" s="12">
        <f t="shared" si="2"/>
        <v>37000</v>
      </c>
      <c r="L29" s="11">
        <f>IF($F29&gt;=$B$14, 0, IF(LOWER(LEFT($B$2,1))="s", ($B$3-($F29)*($B$3/ROUND($B$4*12,0)+$B$10)),$B$3-($F29*$B$6-SUM(G$3:G29)+$B$10*$F29)))</f>
        <v>2342442.3076923075</v>
      </c>
      <c r="M29" s="11">
        <f>IF(F29&gt;=ROUND($B$4*12,0),0,IF(LOWER(LEFT($B$2,1))="s", ($B$3-($B$3/ROUND($B$4*12,0))*F29),$B$3-(F29*$B$6-SUM(H$3:H29))))</f>
        <v>2379567.3076923075</v>
      </c>
    </row>
    <row r="30" spans="1:250" x14ac:dyDescent="0.6">
      <c r="A30" s="4"/>
      <c r="B30" s="45"/>
      <c r="C30" s="45"/>
      <c r="D30" s="45"/>
      <c r="E30" s="23"/>
      <c r="F30" s="14">
        <v>28</v>
      </c>
      <c r="G30" s="15">
        <f>IF(F30&gt;$B$14, 0, IF(LOWER(LEFT($B$2,1))="s", ($B$3-($F30-1)*($B$3/ROUND($B$4*12,0)+$B$10))*($B$5/12),IF(F30=$B$14, ($B$3-((F30-1)*($B$10+$B$6)-SUM(G$3:G29)))*($B$5/12), ABS(IPMT($B$5/12,$F30,NPER($B$5/12,-ABS($B$6)-$B$10,$B$3,0),$B$3)))))</f>
        <v>10716.673557692307</v>
      </c>
      <c r="H30" s="16">
        <f t="shared" si="0"/>
        <v>10886.520432692307</v>
      </c>
      <c r="I30" s="15">
        <f t="shared" si="1"/>
        <v>169.84687499999927</v>
      </c>
      <c r="J30" s="16">
        <f>IF(H30=0, 0, ROUND(SUM(H$3:H30)-SUM(G$3:G30),0))</f>
        <v>2378</v>
      </c>
      <c r="K30" s="16">
        <f t="shared" si="2"/>
        <v>38000</v>
      </c>
      <c r="L30" s="15">
        <f>IF($F30&gt;=$B$14, 0, IF(LOWER(LEFT($B$2,1))="s", ($B$3-($F30)*($B$3/ROUND($B$4*12,0)+$B$10)),$B$3-($F30*$B$6-SUM(G$3:G30)+$B$10*$F30)))</f>
        <v>2332717.9487179485</v>
      </c>
      <c r="M30" s="15">
        <f>IF(F30&gt;=ROUND($B$4*12,0),0,IF(LOWER(LEFT($B$2,1))="s", ($B$3-($B$3/ROUND($B$4*12,0))*F30),$B$3-(F30*$B$6-SUM(H$3:H30))))</f>
        <v>2371217.9487179485</v>
      </c>
    </row>
    <row r="31" spans="1:250" x14ac:dyDescent="0.6">
      <c r="A31" s="45"/>
      <c r="B31" s="45"/>
      <c r="C31" s="45"/>
      <c r="D31" s="45"/>
      <c r="E31" s="23"/>
      <c r="F31" s="10">
        <v>29</v>
      </c>
      <c r="G31" s="11">
        <f>IF(F31&gt;$B$14, 0, IF(LOWER(LEFT($B$2,1))="s", ($B$3-($F31-1)*($B$3/ROUND($B$4*12,0)+$B$10))*($B$5/12),IF(F31=$B$14, ($B$3-((F31-1)*($B$10+$B$6)-SUM(G$3:G30)))*($B$5/12), ABS(IPMT($B$5/12,$F31,NPER($B$5/12,-ABS($B$6)-$B$10,$B$3,0),$B$3)))))</f>
        <v>10672.184615384615</v>
      </c>
      <c r="H31" s="12">
        <f t="shared" si="0"/>
        <v>10848.322115384615</v>
      </c>
      <c r="I31" s="11">
        <f t="shared" si="1"/>
        <v>176.13750000000073</v>
      </c>
      <c r="J31" s="12">
        <f>IF(H31=0, 0, ROUND(SUM(H$3:H31)-SUM(G$3:G31),0))</f>
        <v>2554</v>
      </c>
      <c r="K31" s="12">
        <f t="shared" si="2"/>
        <v>39000</v>
      </c>
      <c r="L31" s="11">
        <f>IF($F31&gt;=$B$14, 0, IF(LOWER(LEFT($B$2,1))="s", ($B$3-($F31)*($B$3/ROUND($B$4*12,0)+$B$10)),$B$3-($F31*$B$6-SUM(G$3:G31)+$B$10*$F31)))</f>
        <v>2322993.58974359</v>
      </c>
      <c r="M31" s="11">
        <f>IF(F31&gt;=ROUND($B$4*12,0),0,IF(LOWER(LEFT($B$2,1))="s", ($B$3-($B$3/ROUND($B$4*12,0))*F31),$B$3-(F31*$B$6-SUM(H$3:H31))))</f>
        <v>2362868.58974359</v>
      </c>
    </row>
    <row r="32" spans="1:250" x14ac:dyDescent="0.6">
      <c r="A32" s="45"/>
      <c r="B32" s="45"/>
      <c r="C32" s="45"/>
      <c r="D32" s="45"/>
      <c r="E32" s="23"/>
      <c r="F32" s="14">
        <v>30</v>
      </c>
      <c r="G32" s="15">
        <f>IF(F32&gt;$B$14, 0, IF(LOWER(LEFT($B$2,1))="s", ($B$3-($F32-1)*($B$3/ROUND($B$4*12,0)+$B$10))*($B$5/12),IF(F32=$B$14, ($B$3-((F32-1)*($B$10+$B$6)-SUM(G$3:G31)))*($B$5/12), ABS(IPMT($B$5/12,$F32,NPER($B$5/12,-ABS($B$6)-$B$10,$B$3,0),$B$3)))))</f>
        <v>10627.695673076925</v>
      </c>
      <c r="H32" s="16">
        <f t="shared" si="0"/>
        <v>10810.123798076924</v>
      </c>
      <c r="I32" s="15">
        <f t="shared" si="1"/>
        <v>182.42812499999854</v>
      </c>
      <c r="J32" s="16">
        <f>IF(H32=0, 0, ROUND(SUM(H$3:H32)-SUM(G$3:G32),0))</f>
        <v>2736</v>
      </c>
      <c r="K32" s="16">
        <f t="shared" si="2"/>
        <v>41000</v>
      </c>
      <c r="L32" s="15">
        <f>IF($F32&gt;=$B$14, 0, IF(LOWER(LEFT($B$2,1))="s", ($B$3-($F32)*($B$3/ROUND($B$4*12,0)+$B$10)),$B$3-($F32*$B$6-SUM(G$3:G32)+$B$10*$F32)))</f>
        <v>2313269.230769231</v>
      </c>
      <c r="M32" s="15">
        <f>IF(F32&gt;=ROUND($B$4*12,0),0,IF(LOWER(LEFT($B$2,1))="s", ($B$3-($B$3/ROUND($B$4*12,0))*F32),$B$3-(F32*$B$6-SUM(H$3:H32))))</f>
        <v>2354519.230769231</v>
      </c>
    </row>
    <row r="33" spans="1:13" x14ac:dyDescent="0.6">
      <c r="A33" s="45"/>
      <c r="B33" s="45"/>
      <c r="C33" s="45"/>
      <c r="D33" s="45"/>
      <c r="E33" s="23"/>
      <c r="F33" s="10">
        <v>31</v>
      </c>
      <c r="G33" s="11">
        <f>IF(F33&gt;$B$14, 0, IF(LOWER(LEFT($B$2,1))="s", ($B$3-($F33-1)*($B$3/ROUND($B$4*12,0)+$B$10))*($B$5/12),IF(F33=$B$14, ($B$3-((F33-1)*($B$10+$B$6)-SUM(G$3:G32)))*($B$5/12), ABS(IPMT($B$5/12,$F33,NPER($B$5/12,-ABS($B$6)-$B$10,$B$3,0),$B$3)))))</f>
        <v>10583.206730769232</v>
      </c>
      <c r="H33" s="12">
        <f t="shared" si="0"/>
        <v>10771.925480769232</v>
      </c>
      <c r="I33" s="11">
        <f t="shared" si="1"/>
        <v>188.71875</v>
      </c>
      <c r="J33" s="12">
        <f>IF(H33=0, 0, ROUND(SUM(H$3:H33)-SUM(G$3:G33),0))</f>
        <v>2925</v>
      </c>
      <c r="K33" s="12">
        <f t="shared" si="2"/>
        <v>42000</v>
      </c>
      <c r="L33" s="11">
        <f>IF($F33&gt;=$B$14, 0, IF(LOWER(LEFT($B$2,1))="s", ($B$3-($F33)*($B$3/ROUND($B$4*12,0)+$B$10)),$B$3-($F33*$B$6-SUM(G$3:G33)+$B$10*$F33)))</f>
        <v>2303544.871794872</v>
      </c>
      <c r="M33" s="11">
        <f>IF(F33&gt;=ROUND($B$4*12,0),0,IF(LOWER(LEFT($B$2,1))="s", ($B$3-($B$3/ROUND($B$4*12,0))*F33),$B$3-(F33*$B$6-SUM(H$3:H33))))</f>
        <v>2346169.871794872</v>
      </c>
    </row>
    <row r="34" spans="1:13" x14ac:dyDescent="0.6">
      <c r="A34" s="45"/>
      <c r="B34" s="45"/>
      <c r="C34" s="45"/>
      <c r="D34" s="45"/>
      <c r="E34" s="23"/>
      <c r="F34" s="14">
        <v>32</v>
      </c>
      <c r="G34" s="15">
        <f>IF(F34&gt;$B$14, 0, IF(LOWER(LEFT($B$2,1))="s", ($B$3-($F34-1)*($B$3/ROUND($B$4*12,0)+$B$10))*($B$5/12),IF(F34=$B$14, ($B$3-((F34-1)*($B$10+$B$6)-SUM(G$3:G33)))*($B$5/12), ABS(IPMT($B$5/12,$F34,NPER($B$5/12,-ABS($B$6)-$B$10,$B$3,0),$B$3)))))</f>
        <v>10538.717788461539</v>
      </c>
      <c r="H34" s="16">
        <f t="shared" si="0"/>
        <v>10733.727163461539</v>
      </c>
      <c r="I34" s="15">
        <f t="shared" si="1"/>
        <v>195.00937499999964</v>
      </c>
      <c r="J34" s="16">
        <f>IF(H34=0, 0, ROUND(SUM(H$3:H34)-SUM(G$3:G34),0))</f>
        <v>3120</v>
      </c>
      <c r="K34" s="16">
        <f t="shared" si="2"/>
        <v>44000</v>
      </c>
      <c r="L34" s="15">
        <f>IF($F34&gt;=$B$14, 0, IF(LOWER(LEFT($B$2,1))="s", ($B$3-($F34)*($B$3/ROUND($B$4*12,0)+$B$10)),$B$3-($F34*$B$6-SUM(G$3:G34)+$B$10*$F34)))</f>
        <v>2293820.512820513</v>
      </c>
      <c r="M34" s="15">
        <f>IF(F34&gt;=ROUND($B$4*12,0),0,IF(LOWER(LEFT($B$2,1))="s", ($B$3-($B$3/ROUND($B$4*12,0))*F34),$B$3-(F34*$B$6-SUM(H$3:H34))))</f>
        <v>2337820.512820513</v>
      </c>
    </row>
    <row r="35" spans="1:13" x14ac:dyDescent="0.6">
      <c r="A35" s="4"/>
      <c r="B35" s="4"/>
      <c r="C35" s="4"/>
      <c r="D35" s="4"/>
      <c r="E35" s="23"/>
      <c r="F35" s="10">
        <v>33</v>
      </c>
      <c r="G35" s="11">
        <f>IF(F35&gt;$B$14, 0, IF(LOWER(LEFT($B$2,1))="s", ($B$3-($F35-1)*($B$3/ROUND($B$4*12,0)+$B$10))*($B$5/12),IF(F35=$B$14, ($B$3-((F35-1)*($B$10+$B$6)-SUM(G$3:G34)))*($B$5/12), ABS(IPMT($B$5/12,$F35,NPER($B$5/12,-ABS($B$6)-$B$10,$B$3,0),$B$3)))))</f>
        <v>10494.228846153846</v>
      </c>
      <c r="H35" s="12">
        <f t="shared" si="0"/>
        <v>10695.528846153848</v>
      </c>
      <c r="I35" s="11">
        <f t="shared" si="1"/>
        <v>201.30000000000109</v>
      </c>
      <c r="J35" s="12">
        <f>IF(H35=0, 0, ROUND(SUM(H$3:H35)-SUM(G$3:G35),0))</f>
        <v>3321</v>
      </c>
      <c r="K35" s="12">
        <f t="shared" si="2"/>
        <v>45000</v>
      </c>
      <c r="L35" s="11">
        <f>IF($F35&gt;=$B$14, 0, IF(LOWER(LEFT($B$2,1))="s", ($B$3-($F35)*($B$3/ROUND($B$4*12,0)+$B$10)),$B$3-($F35*$B$6-SUM(G$3:G35)+$B$10*$F35)))</f>
        <v>2284096.153846154</v>
      </c>
      <c r="M35" s="11">
        <f>IF(F35&gt;=ROUND($B$4*12,0),0,IF(LOWER(LEFT($B$2,1))="s", ($B$3-($B$3/ROUND($B$4*12,0))*F35),$B$3-(F35*$B$6-SUM(H$3:H35))))</f>
        <v>2329471.153846154</v>
      </c>
    </row>
    <row r="36" spans="1:13" x14ac:dyDescent="0.6">
      <c r="A36" s="45"/>
      <c r="B36" s="45"/>
      <c r="C36" s="45"/>
      <c r="D36" s="45"/>
      <c r="E36" s="23"/>
      <c r="F36" s="14">
        <v>34</v>
      </c>
      <c r="G36" s="15">
        <f>IF(F36&gt;$B$14, 0, IF(LOWER(LEFT($B$2,1))="s", ($B$3-($F36-1)*($B$3/ROUND($B$4*12,0)+$B$10))*($B$5/12),IF(F36=$B$14, ($B$3-((F36-1)*($B$10+$B$6)-SUM(G$3:G35)))*($B$5/12), ABS(IPMT($B$5/12,$F36,NPER($B$5/12,-ABS($B$6)-$B$10,$B$3,0),$B$3)))))</f>
        <v>10449.739903846155</v>
      </c>
      <c r="H36" s="16">
        <f t="shared" si="0"/>
        <v>10657.330528846154</v>
      </c>
      <c r="I36" s="15">
        <f t="shared" si="1"/>
        <v>207.59062499999891</v>
      </c>
      <c r="J36" s="16">
        <f>IF(H36=0, 0, ROUND(SUM(H$3:H36)-SUM(G$3:G36),0))</f>
        <v>3529</v>
      </c>
      <c r="K36" s="16">
        <f t="shared" si="2"/>
        <v>46000</v>
      </c>
      <c r="L36" s="15">
        <f>IF($F36&gt;=$B$14, 0, IF(LOWER(LEFT($B$2,1))="s", ($B$3-($F36)*($B$3/ROUND($B$4*12,0)+$B$10)),$B$3-($F36*$B$6-SUM(G$3:G36)+$B$10*$F36)))</f>
        <v>2274371.794871795</v>
      </c>
      <c r="M36" s="15">
        <f>IF(F36&gt;=ROUND($B$4*12,0),0,IF(LOWER(LEFT($B$2,1))="s", ($B$3-($B$3/ROUND($B$4*12,0))*F36),$B$3-(F36*$B$6-SUM(H$3:H36))))</f>
        <v>2321121.794871795</v>
      </c>
    </row>
    <row r="37" spans="1:13" x14ac:dyDescent="0.6">
      <c r="A37" s="45"/>
      <c r="B37" s="45"/>
      <c r="C37" s="45"/>
      <c r="D37" s="45"/>
      <c r="E37" s="23"/>
      <c r="F37" s="10">
        <v>35</v>
      </c>
      <c r="G37" s="11">
        <f>IF(F37&gt;$B$14, 0, IF(LOWER(LEFT($B$2,1))="s", ($B$3-($F37-1)*($B$3/ROUND($B$4*12,0)+$B$10))*($B$5/12),IF(F37=$B$14, ($B$3-((F37-1)*($B$10+$B$6)-SUM(G$3:G36)))*($B$5/12), ABS(IPMT($B$5/12,$F37,NPER($B$5/12,-ABS($B$6)-$B$10,$B$3,0),$B$3)))))</f>
        <v>10405.250961538462</v>
      </c>
      <c r="H37" s="12">
        <f t="shared" si="0"/>
        <v>10619.132211538463</v>
      </c>
      <c r="I37" s="11">
        <f t="shared" si="1"/>
        <v>213.88125000000036</v>
      </c>
      <c r="J37" s="12">
        <f>IF(H37=0, 0, ROUND(SUM(H$3:H37)-SUM(G$3:G37),0))</f>
        <v>3743</v>
      </c>
      <c r="K37" s="12">
        <f t="shared" si="2"/>
        <v>48000</v>
      </c>
      <c r="L37" s="11">
        <f>IF($F37&gt;=$B$14, 0, IF(LOWER(LEFT($B$2,1))="s", ($B$3-($F37)*($B$3/ROUND($B$4*12,0)+$B$10)),$B$3-($F37*$B$6-SUM(G$3:G37)+$B$10*$F37)))</f>
        <v>2264647.435897436</v>
      </c>
      <c r="M37" s="11">
        <f>IF(F37&gt;=ROUND($B$4*12,0),0,IF(LOWER(LEFT($B$2,1))="s", ($B$3-($B$3/ROUND($B$4*12,0))*F37),$B$3-(F37*$B$6-SUM(H$3:H37))))</f>
        <v>2312772.435897436</v>
      </c>
    </row>
    <row r="38" spans="1:13" x14ac:dyDescent="0.6">
      <c r="A38" s="4"/>
      <c r="B38" s="4"/>
      <c r="C38" s="4"/>
      <c r="D38" s="4"/>
      <c r="E38" s="23"/>
      <c r="F38" s="14">
        <v>36</v>
      </c>
      <c r="G38" s="15">
        <f>IF(F38&gt;$B$14, 0, IF(LOWER(LEFT($B$2,1))="s", ($B$3-($F38-1)*($B$3/ROUND($B$4*12,0)+$B$10))*($B$5/12),IF(F38=$B$14, ($B$3-((F38-1)*($B$10+$B$6)-SUM(G$3:G37)))*($B$5/12), ABS(IPMT($B$5/12,$F38,NPER($B$5/12,-ABS($B$6)-$B$10,$B$3,0),$B$3)))))</f>
        <v>10360.76201923077</v>
      </c>
      <c r="H38" s="16">
        <f t="shared" si="0"/>
        <v>10580.93389423077</v>
      </c>
      <c r="I38" s="15">
        <f t="shared" si="1"/>
        <v>220.171875</v>
      </c>
      <c r="J38" s="16">
        <f>IF(H38=0, 0, ROUND(SUM(H$3:H38)-SUM(G$3:G38),0))</f>
        <v>3963</v>
      </c>
      <c r="K38" s="16">
        <f t="shared" si="2"/>
        <v>49000</v>
      </c>
      <c r="L38" s="15">
        <f>IF($F38&gt;=$B$14, 0, IF(LOWER(LEFT($B$2,1))="s", ($B$3-($F38)*($B$3/ROUND($B$4*12,0)+$B$10)),$B$3-($F38*$B$6-SUM(G$3:G38)+$B$10*$F38)))</f>
        <v>2254923.076923077</v>
      </c>
      <c r="M38" s="15">
        <f>IF(F38&gt;=ROUND($B$4*12,0),0,IF(LOWER(LEFT($B$2,1))="s", ($B$3-($B$3/ROUND($B$4*12,0))*F38),$B$3-(F38*$B$6-SUM(H$3:H38))))</f>
        <v>2304423.076923077</v>
      </c>
    </row>
    <row r="39" spans="1:13" x14ac:dyDescent="0.6">
      <c r="A39" s="4"/>
      <c r="B39" s="4"/>
      <c r="C39" s="4"/>
      <c r="D39" s="4"/>
      <c r="E39" s="23"/>
      <c r="F39" s="10">
        <v>37</v>
      </c>
      <c r="G39" s="11">
        <f>IF(F39&gt;$B$14, 0, IF(LOWER(LEFT($B$2,1))="s", ($B$3-($F39-1)*($B$3/ROUND($B$4*12,0)+$B$10))*($B$5/12),IF(F39=$B$14, ($B$3-((F39-1)*($B$10+$B$6)-SUM(G$3:G38)))*($B$5/12), ABS(IPMT($B$5/12,$F39,NPER($B$5/12,-ABS($B$6)-$B$10,$B$3,0),$B$3)))))</f>
        <v>10316.273076923077</v>
      </c>
      <c r="H39" s="12">
        <f t="shared" si="0"/>
        <v>10542.735576923078</v>
      </c>
      <c r="I39" s="11">
        <f t="shared" si="1"/>
        <v>226.46250000000146</v>
      </c>
      <c r="J39" s="12">
        <f>IF(H39=0, 0, ROUND(SUM(H$3:H39)-SUM(G$3:G39),0))</f>
        <v>4190</v>
      </c>
      <c r="K39" s="12">
        <f t="shared" si="2"/>
        <v>50000</v>
      </c>
      <c r="L39" s="11">
        <f>IF($F39&gt;=$B$14, 0, IF(LOWER(LEFT($B$2,1))="s", ($B$3-($F39)*($B$3/ROUND($B$4*12,0)+$B$10)),$B$3-($F39*$B$6-SUM(G$3:G39)+$B$10*$F39)))</f>
        <v>2245198.717948718</v>
      </c>
      <c r="M39" s="11">
        <f>IF(F39&gt;=ROUND($B$4*12,0),0,IF(LOWER(LEFT($B$2,1))="s", ($B$3-($B$3/ROUND($B$4*12,0))*F39),$B$3-(F39*$B$6-SUM(H$3:H39))))</f>
        <v>2296073.717948718</v>
      </c>
    </row>
    <row r="40" spans="1:13" x14ac:dyDescent="0.6">
      <c r="A40" s="42"/>
      <c r="B40" s="4"/>
      <c r="C40" s="4"/>
      <c r="D40" s="4"/>
      <c r="E40" s="23"/>
      <c r="F40" s="14">
        <v>38</v>
      </c>
      <c r="G40" s="15">
        <f>IF(F40&gt;$B$14, 0, IF(LOWER(LEFT($B$2,1))="s", ($B$3-($F40-1)*($B$3/ROUND($B$4*12,0)+$B$10))*($B$5/12),IF(F40=$B$14, ($B$3-((F40-1)*($B$10+$B$6)-SUM(G$3:G39)))*($B$5/12), ABS(IPMT($B$5/12,$F40,NPER($B$5/12,-ABS($B$6)-$B$10,$B$3,0),$B$3)))))</f>
        <v>10271.784134615385</v>
      </c>
      <c r="H40" s="16">
        <f t="shared" si="0"/>
        <v>10504.537259615385</v>
      </c>
      <c r="I40" s="15">
        <f t="shared" si="1"/>
        <v>232.75312499999927</v>
      </c>
      <c r="J40" s="16">
        <f>IF(H40=0, 0, ROUND(SUM(H$3:H40)-SUM(G$3:G40),0))</f>
        <v>4422</v>
      </c>
      <c r="K40" s="16">
        <f t="shared" si="2"/>
        <v>52000</v>
      </c>
      <c r="L40" s="15">
        <f>IF($F40&gt;=$B$14, 0, IF(LOWER(LEFT($B$2,1))="s", ($B$3-($F40)*($B$3/ROUND($B$4*12,0)+$B$10)),$B$3-($F40*$B$6-SUM(G$3:G40)+$B$10*$F40)))</f>
        <v>2235474.358974359</v>
      </c>
      <c r="M40" s="15">
        <f>IF(F40&gt;=ROUND($B$4*12,0),0,IF(LOWER(LEFT($B$2,1))="s", ($B$3-($B$3/ROUND($B$4*12,0))*F40),$B$3-(F40*$B$6-SUM(H$3:H40))))</f>
        <v>2287724.358974359</v>
      </c>
    </row>
    <row r="41" spans="1:13" x14ac:dyDescent="0.6">
      <c r="A41" s="281"/>
      <c r="B41" s="281"/>
      <c r="C41" s="4"/>
      <c r="D41" s="4"/>
      <c r="E41" s="23"/>
      <c r="F41" s="10">
        <v>39</v>
      </c>
      <c r="G41" s="11">
        <f>IF(F41&gt;$B$14, 0, IF(LOWER(LEFT($B$2,1))="s", ($B$3-($F41-1)*($B$3/ROUND($B$4*12,0)+$B$10))*($B$5/12),IF(F41=$B$14, ($B$3-((F41-1)*($B$10+$B$6)-SUM(G$3:G40)))*($B$5/12), ABS(IPMT($B$5/12,$F41,NPER($B$5/12,-ABS($B$6)-$B$10,$B$3,0),$B$3)))))</f>
        <v>10227.295192307693</v>
      </c>
      <c r="H41" s="12">
        <f t="shared" si="0"/>
        <v>10466.338942307693</v>
      </c>
      <c r="I41" s="11">
        <f t="shared" si="1"/>
        <v>239.04375000000073</v>
      </c>
      <c r="J41" s="12">
        <f>IF(H41=0, 0, ROUND(SUM(H$3:H41)-SUM(G$3:G41),0))</f>
        <v>4661</v>
      </c>
      <c r="K41" s="12">
        <f t="shared" si="2"/>
        <v>53000</v>
      </c>
      <c r="L41" s="11">
        <f>IF($F41&gt;=$B$14, 0, IF(LOWER(LEFT($B$2,1))="s", ($B$3-($F41)*($B$3/ROUND($B$4*12,0)+$B$10)),$B$3-($F41*$B$6-SUM(G$3:G41)+$B$10*$F41)))</f>
        <v>2225750</v>
      </c>
      <c r="M41" s="11">
        <f>IF(F41&gt;=ROUND($B$4*12,0),0,IF(LOWER(LEFT($B$2,1))="s", ($B$3-($B$3/ROUND($B$4*12,0))*F41),$B$3-(F41*$B$6-SUM(H$3:H41))))</f>
        <v>2279375</v>
      </c>
    </row>
    <row r="42" spans="1:13" x14ac:dyDescent="0.6">
      <c r="A42" s="46"/>
      <c r="B42" s="4"/>
      <c r="C42" s="4"/>
      <c r="D42" s="4"/>
      <c r="E42" s="23"/>
      <c r="F42" s="14">
        <v>40</v>
      </c>
      <c r="G42" s="15">
        <f>IF(F42&gt;$B$14, 0, IF(LOWER(LEFT($B$2,1))="s", ($B$3-($F42-1)*($B$3/ROUND($B$4*12,0)+$B$10))*($B$5/12),IF(F42=$B$14, ($B$3-((F42-1)*($B$10+$B$6)-SUM(G$3:G41)))*($B$5/12), ABS(IPMT($B$5/12,$F42,NPER($B$5/12,-ABS($B$6)-$B$10,$B$3,0),$B$3)))))</f>
        <v>10182.80625</v>
      </c>
      <c r="H42" s="16">
        <f t="shared" si="0"/>
        <v>10428.140625</v>
      </c>
      <c r="I42" s="15">
        <f t="shared" si="1"/>
        <v>245.33437500000036</v>
      </c>
      <c r="J42" s="16">
        <f>IF(H42=0, 0, ROUND(SUM(H$3:H42)-SUM(G$3:G42),0))</f>
        <v>4907</v>
      </c>
      <c r="K42" s="16">
        <f t="shared" si="2"/>
        <v>55000</v>
      </c>
      <c r="L42" s="15">
        <f>IF($F42&gt;=$B$14, 0, IF(LOWER(LEFT($B$2,1))="s", ($B$3-($F42)*($B$3/ROUND($B$4*12,0)+$B$10)),$B$3-($F42*$B$6-SUM(G$3:G42)+$B$10*$F42)))</f>
        <v>2216025.641025641</v>
      </c>
      <c r="M42" s="15">
        <f>IF(F42&gt;=ROUND($B$4*12,0),0,IF(LOWER(LEFT($B$2,1))="s", ($B$3-($B$3/ROUND($B$4*12,0))*F42),$B$3-(F42*$B$6-SUM(H$3:H42))))</f>
        <v>2271025.641025641</v>
      </c>
    </row>
    <row r="43" spans="1:13" x14ac:dyDescent="0.6">
      <c r="A43" s="42"/>
      <c r="B43" s="4"/>
      <c r="C43" s="4"/>
      <c r="D43" s="4"/>
      <c r="E43" s="23"/>
      <c r="F43" s="10">
        <v>41</v>
      </c>
      <c r="G43" s="11">
        <f>IF(F43&gt;$B$14, 0, IF(LOWER(LEFT($B$2,1))="s", ($B$3-($F43-1)*($B$3/ROUND($B$4*12,0)+$B$10))*($B$5/12),IF(F43=$B$14, ($B$3-((F43-1)*($B$10+$B$6)-SUM(G$3:G42)))*($B$5/12), ABS(IPMT($B$5/12,$F43,NPER($B$5/12,-ABS($B$6)-$B$10,$B$3,0),$B$3)))))</f>
        <v>10138.317307692309</v>
      </c>
      <c r="H43" s="12">
        <f t="shared" si="0"/>
        <v>10389.942307692309</v>
      </c>
      <c r="I43" s="11">
        <f t="shared" si="1"/>
        <v>251.625</v>
      </c>
      <c r="J43" s="12">
        <f>IF(H43=0, 0, ROUND(SUM(H$3:H43)-SUM(G$3:G43),0))</f>
        <v>5158</v>
      </c>
      <c r="K43" s="12">
        <f t="shared" si="2"/>
        <v>56000</v>
      </c>
      <c r="L43" s="11">
        <f>IF($F43&gt;=$B$14, 0, IF(LOWER(LEFT($B$2,1))="s", ($B$3-($F43)*($B$3/ROUND($B$4*12,0)+$B$10)),$B$3-($F43*$B$6-SUM(G$3:G43)+$B$10*$F43)))</f>
        <v>2206301.282051282</v>
      </c>
      <c r="M43" s="11">
        <f>IF(F43&gt;=ROUND($B$4*12,0),0,IF(LOWER(LEFT($B$2,1))="s", ($B$3-($B$3/ROUND($B$4*12,0))*F43),$B$3-(F43*$B$6-SUM(H$3:H43))))</f>
        <v>2262676.282051282</v>
      </c>
    </row>
    <row r="44" spans="1:13" x14ac:dyDescent="0.6">
      <c r="A44" s="42"/>
      <c r="B44" s="4"/>
      <c r="C44" s="4"/>
      <c r="D44" s="4"/>
      <c r="E44" s="23"/>
      <c r="F44" s="14">
        <v>42</v>
      </c>
      <c r="G44" s="15">
        <f>IF(F44&gt;$B$14, 0, IF(LOWER(LEFT($B$2,1))="s", ($B$3-($F44-1)*($B$3/ROUND($B$4*12,0)+$B$10))*($B$5/12),IF(F44=$B$14, ($B$3-((F44-1)*($B$10+$B$6)-SUM(G$3:G43)))*($B$5/12), ABS(IPMT($B$5/12,$F44,NPER($B$5/12,-ABS($B$6)-$B$10,$B$3,0),$B$3)))))</f>
        <v>10093.828365384616</v>
      </c>
      <c r="H44" s="16">
        <f t="shared" si="0"/>
        <v>10351.743990384615</v>
      </c>
      <c r="I44" s="15">
        <f t="shared" si="1"/>
        <v>257.91562499999964</v>
      </c>
      <c r="J44" s="16">
        <f>IF(H44=0, 0, ROUND(SUM(H$3:H44)-SUM(G$3:G44),0))</f>
        <v>5416</v>
      </c>
      <c r="K44" s="16">
        <f t="shared" si="2"/>
        <v>57000</v>
      </c>
      <c r="L44" s="15">
        <f>IF($F44&gt;=$B$14, 0, IF(LOWER(LEFT($B$2,1))="s", ($B$3-($F44)*($B$3/ROUND($B$4*12,0)+$B$10)),$B$3-($F44*$B$6-SUM(G$3:G44)+$B$10*$F44)))</f>
        <v>2196576.923076923</v>
      </c>
      <c r="M44" s="15">
        <f>IF(F44&gt;=ROUND($B$4*12,0),0,IF(LOWER(LEFT($B$2,1))="s", ($B$3-($B$3/ROUND($B$4*12,0))*F44),$B$3-(F44*$B$6-SUM(H$3:H44))))</f>
        <v>2254326.923076923</v>
      </c>
    </row>
    <row r="45" spans="1:13" x14ac:dyDescent="0.6">
      <c r="A45" s="42"/>
      <c r="B45" s="4"/>
      <c r="C45" s="4"/>
      <c r="D45" s="4"/>
      <c r="E45" s="23"/>
      <c r="F45" s="10">
        <v>43</v>
      </c>
      <c r="G45" s="11">
        <f>IF(F45&gt;$B$14, 0, IF(LOWER(LEFT($B$2,1))="s", ($B$3-($F45-1)*($B$3/ROUND($B$4*12,0)+$B$10))*($B$5/12),IF(F45=$B$14, ($B$3-((F45-1)*($B$10+$B$6)-SUM(G$3:G44)))*($B$5/12), ABS(IPMT($B$5/12,$F45,NPER($B$5/12,-ABS($B$6)-$B$10,$B$3,0),$B$3)))))</f>
        <v>10049.339423076923</v>
      </c>
      <c r="H45" s="12">
        <f t="shared" si="0"/>
        <v>10313.545673076924</v>
      </c>
      <c r="I45" s="11">
        <f t="shared" si="1"/>
        <v>264.20625000000109</v>
      </c>
      <c r="J45" s="12">
        <f>IF(H45=0, 0, ROUND(SUM(H$3:H45)-SUM(G$3:G45),0))</f>
        <v>5680</v>
      </c>
      <c r="K45" s="12">
        <f t="shared" si="2"/>
        <v>59000</v>
      </c>
      <c r="L45" s="11">
        <f>IF($F45&gt;=$B$14, 0, IF(LOWER(LEFT($B$2,1))="s", ($B$3-($F45)*($B$3/ROUND($B$4*12,0)+$B$10)),$B$3-($F45*$B$6-SUM(G$3:G45)+$B$10*$F45)))</f>
        <v>2186852.564102564</v>
      </c>
      <c r="M45" s="11">
        <f>IF(F45&gt;=ROUND($B$4*12,0),0,IF(LOWER(LEFT($B$2,1))="s", ($B$3-($B$3/ROUND($B$4*12,0))*F45),$B$3-(F45*$B$6-SUM(H$3:H45))))</f>
        <v>2245977.564102564</v>
      </c>
    </row>
    <row r="46" spans="1:13" x14ac:dyDescent="0.6">
      <c r="A46" s="42"/>
      <c r="B46" s="4"/>
      <c r="C46" s="4"/>
      <c r="D46" s="4"/>
      <c r="E46" s="23"/>
      <c r="F46" s="14">
        <v>44</v>
      </c>
      <c r="G46" s="15">
        <f>IF(F46&gt;$B$14, 0, IF(LOWER(LEFT($B$2,1))="s", ($B$3-($F46-1)*($B$3/ROUND($B$4*12,0)+$B$10))*($B$5/12),IF(F46=$B$14, ($B$3-((F46-1)*($B$10+$B$6)-SUM(G$3:G45)))*($B$5/12), ABS(IPMT($B$5/12,$F46,NPER($B$5/12,-ABS($B$6)-$B$10,$B$3,0),$B$3)))))</f>
        <v>10004.85048076923</v>
      </c>
      <c r="H46" s="16">
        <f t="shared" si="0"/>
        <v>10275.34735576923</v>
      </c>
      <c r="I46" s="15">
        <f t="shared" si="1"/>
        <v>270.49687500000073</v>
      </c>
      <c r="J46" s="16">
        <f>IF(H46=0, 0, ROUND(SUM(H$3:H46)-SUM(G$3:G46),0))</f>
        <v>5951</v>
      </c>
      <c r="K46" s="16">
        <f t="shared" si="2"/>
        <v>60000</v>
      </c>
      <c r="L46" s="15">
        <f>IF($F46&gt;=$B$14, 0, IF(LOWER(LEFT($B$2,1))="s", ($B$3-($F46)*($B$3/ROUND($B$4*12,0)+$B$10)),$B$3-($F46*$B$6-SUM(G$3:G46)+$B$10*$F46)))</f>
        <v>2177128.205128205</v>
      </c>
      <c r="M46" s="15">
        <f>IF(F46&gt;=ROUND($B$4*12,0),0,IF(LOWER(LEFT($B$2,1))="s", ($B$3-($B$3/ROUND($B$4*12,0))*F46),$B$3-(F46*$B$6-SUM(H$3:H46))))</f>
        <v>2237628.205128205</v>
      </c>
    </row>
    <row r="47" spans="1:13" x14ac:dyDescent="0.6">
      <c r="A47" s="1" t="s">
        <v>26</v>
      </c>
      <c r="B47" s="4"/>
      <c r="C47" s="4"/>
      <c r="D47" s="4"/>
      <c r="E47" s="23"/>
      <c r="F47" s="10">
        <v>45</v>
      </c>
      <c r="G47" s="11">
        <f>IF(F47&gt;$B$14, 0, IF(LOWER(LEFT($B$2,1))="s", ($B$3-($F47-1)*($B$3/ROUND($B$4*12,0)+$B$10))*($B$5/12),IF(F47=$B$14, ($B$3-((F47-1)*($B$10+$B$6)-SUM(G$3:G46)))*($B$5/12), ABS(IPMT($B$5/12,$F47,NPER($B$5/12,-ABS($B$6)-$B$10,$B$3,0),$B$3)))))</f>
        <v>9960.3615384615387</v>
      </c>
      <c r="H47" s="12">
        <f t="shared" si="0"/>
        <v>10237.149038461537</v>
      </c>
      <c r="I47" s="11">
        <f t="shared" si="1"/>
        <v>276.78749999999854</v>
      </c>
      <c r="J47" s="12">
        <f>IF(H47=0, 0, ROUND(SUM(H$3:H47)-SUM(G$3:G47),0))</f>
        <v>6228</v>
      </c>
      <c r="K47" s="12">
        <f t="shared" si="2"/>
        <v>61000</v>
      </c>
      <c r="L47" s="11">
        <f>IF($F47&gt;=$B$14, 0, IF(LOWER(LEFT($B$2,1))="s", ($B$3-($F47)*($B$3/ROUND($B$4*12,0)+$B$10)),$B$3-($F47*$B$6-SUM(G$3:G47)+$B$10*$F47)))</f>
        <v>2167403.846153846</v>
      </c>
      <c r="M47" s="11">
        <f>IF(F47&gt;=ROUND($B$4*12,0),0,IF(LOWER(LEFT($B$2,1))="s", ($B$3-($B$3/ROUND($B$4*12,0))*F47),$B$3-(F47*$B$6-SUM(H$3:H47))))</f>
        <v>2229278.846153846</v>
      </c>
    </row>
    <row r="48" spans="1:13" x14ac:dyDescent="0.6">
      <c r="A48" s="4"/>
      <c r="B48" s="4"/>
      <c r="C48" s="4"/>
      <c r="D48" s="4"/>
      <c r="E48" s="23"/>
      <c r="F48" s="14">
        <v>46</v>
      </c>
      <c r="G48" s="15">
        <f>IF(F48&gt;$B$14, 0, IF(LOWER(LEFT($B$2,1))="s", ($B$3-($F48-1)*($B$3/ROUND($B$4*12,0)+$B$10))*($B$5/12),IF(F48=$B$14, ($B$3-((F48-1)*($B$10+$B$6)-SUM(G$3:G47)))*($B$5/12), ABS(IPMT($B$5/12,$F48,NPER($B$5/12,-ABS($B$6)-$B$10,$B$3,0),$B$3)))))</f>
        <v>9915.8725961538457</v>
      </c>
      <c r="H48" s="16">
        <f t="shared" si="0"/>
        <v>10198.950721153846</v>
      </c>
      <c r="I48" s="15">
        <f t="shared" si="1"/>
        <v>283.078125</v>
      </c>
      <c r="J48" s="16">
        <f>IF(H48=0, 0, ROUND(SUM(H$3:H48)-SUM(G$3:G48),0))</f>
        <v>6511</v>
      </c>
      <c r="K48" s="16">
        <f t="shared" si="2"/>
        <v>63000</v>
      </c>
      <c r="L48" s="15">
        <f>IF($F48&gt;=$B$14, 0, IF(LOWER(LEFT($B$2,1))="s", ($B$3-($F48)*($B$3/ROUND($B$4*12,0)+$B$10)),$B$3-($F48*$B$6-SUM(G$3:G48)+$B$10*$F48)))</f>
        <v>2157679.487179487</v>
      </c>
      <c r="M48" s="15">
        <f>IF(F48&gt;=ROUND($B$4*12,0),0,IF(LOWER(LEFT($B$2,1))="s", ($B$3-($B$3/ROUND($B$4*12,0))*F48),$B$3-(F48*$B$6-SUM(H$3:H48))))</f>
        <v>2220929.487179487</v>
      </c>
    </row>
    <row r="49" spans="1:13" x14ac:dyDescent="0.6">
      <c r="A49" s="4"/>
      <c r="B49" s="4"/>
      <c r="C49" s="4"/>
      <c r="D49" s="4"/>
      <c r="E49" s="23"/>
      <c r="F49" s="10">
        <v>47</v>
      </c>
      <c r="G49" s="11">
        <f>IF(F49&gt;$B$14, 0, IF(LOWER(LEFT($B$2,1))="s", ($B$3-($F49-1)*($B$3/ROUND($B$4*12,0)+$B$10))*($B$5/12),IF(F49=$B$14, ($B$3-((F49-1)*($B$10+$B$6)-SUM(G$3:G48)))*($B$5/12), ABS(IPMT($B$5/12,$F49,NPER($B$5/12,-ABS($B$6)-$B$10,$B$3,0),$B$3)))))</f>
        <v>9871.3836538461528</v>
      </c>
      <c r="H49" s="12">
        <f t="shared" si="0"/>
        <v>10160.752403846152</v>
      </c>
      <c r="I49" s="11">
        <f t="shared" si="1"/>
        <v>289.36874999999964</v>
      </c>
      <c r="J49" s="12">
        <f>IF(H49=0, 0, ROUND(SUM(H$3:H49)-SUM(G$3:G49),0))</f>
        <v>6800</v>
      </c>
      <c r="K49" s="12">
        <f t="shared" si="2"/>
        <v>64000</v>
      </c>
      <c r="L49" s="11">
        <f>IF($F49&gt;=$B$14, 0, IF(LOWER(LEFT($B$2,1))="s", ($B$3-($F49)*($B$3/ROUND($B$4*12,0)+$B$10)),$B$3-($F49*$B$6-SUM(G$3:G49)+$B$10*$F49)))</f>
        <v>2147955.128205128</v>
      </c>
      <c r="M49" s="11">
        <f>IF(F49&gt;=ROUND($B$4*12,0),0,IF(LOWER(LEFT($B$2,1))="s", ($B$3-($B$3/ROUND($B$4*12,0))*F49),$B$3-(F49*$B$6-SUM(H$3:H49))))</f>
        <v>2212580.128205128</v>
      </c>
    </row>
    <row r="50" spans="1:13" x14ac:dyDescent="0.6">
      <c r="A50" s="4"/>
      <c r="B50" s="4"/>
      <c r="C50" s="4"/>
      <c r="D50" s="4"/>
      <c r="E50" s="23" t="s">
        <v>27</v>
      </c>
      <c r="F50" s="14">
        <v>48</v>
      </c>
      <c r="G50" s="15">
        <f>IF(F50&gt;$B$14, 0, IF(LOWER(LEFT($B$2,1))="s", ($B$3-($F50-1)*($B$3/ROUND($B$4*12,0)+$B$10))*($B$5/12),IF(F50=$B$14, ($B$3-((F50-1)*($B$10+$B$6)-SUM(G$3:G49)))*($B$5/12), ABS(IPMT($B$5/12,$F50,NPER($B$5/12,-ABS($B$6)-$B$10,$B$3,0),$B$3)))))</f>
        <v>9826.8947115384617</v>
      </c>
      <c r="H50" s="16">
        <f t="shared" si="0"/>
        <v>10122.554086538461</v>
      </c>
      <c r="I50" s="15">
        <f t="shared" si="1"/>
        <v>295.65937499999927</v>
      </c>
      <c r="J50" s="16">
        <f>IF(H50=0, 0, ROUND(SUM(H$3:H50)-SUM(G$3:G50),0))</f>
        <v>7096</v>
      </c>
      <c r="K50" s="16">
        <f t="shared" si="2"/>
        <v>66000</v>
      </c>
      <c r="L50" s="15">
        <f>IF($F50&gt;=$B$14, 0, IF(LOWER(LEFT($B$2,1))="s", ($B$3-($F50)*($B$3/ROUND($B$4*12,0)+$B$10)),$B$3-($F50*$B$6-SUM(G$3:G50)+$B$10*$F50)))</f>
        <v>2138230.769230769</v>
      </c>
      <c r="M50" s="15">
        <f>IF(F50&gt;=ROUND($B$4*12,0),0,IF(LOWER(LEFT($B$2,1))="s", ($B$3-($B$3/ROUND($B$4*12,0))*F50),$B$3-(F50*$B$6-SUM(H$3:H50))))</f>
        <v>2204230.769230769</v>
      </c>
    </row>
    <row r="51" spans="1:13" x14ac:dyDescent="0.6">
      <c r="A51" s="4"/>
      <c r="B51" s="4"/>
      <c r="C51" s="4"/>
      <c r="D51" s="4"/>
      <c r="E51" s="23"/>
      <c r="F51" s="10">
        <v>49</v>
      </c>
      <c r="G51" s="11">
        <f>IF(F51&gt;$B$14, 0, IF(LOWER(LEFT($B$2,1))="s", ($B$3-($F51-1)*($B$3/ROUND($B$4*12,0)+$B$10))*($B$5/12),IF(F51=$B$14, ($B$3-((F51-1)*($B$10+$B$6)-SUM(G$3:G50)))*($B$5/12), ABS(IPMT($B$5/12,$F51,NPER($B$5/12,-ABS($B$6)-$B$10,$B$3,0),$B$3)))))</f>
        <v>9782.4057692307688</v>
      </c>
      <c r="H51" s="12">
        <f t="shared" si="0"/>
        <v>10084.355769230768</v>
      </c>
      <c r="I51" s="11">
        <f t="shared" si="1"/>
        <v>301.94999999999891</v>
      </c>
      <c r="J51" s="12">
        <f>IF(H51=0, 0, ROUND(SUM(H$3:H51)-SUM(G$3:G51),0))</f>
        <v>7398</v>
      </c>
      <c r="K51" s="12">
        <f t="shared" si="2"/>
        <v>67000</v>
      </c>
      <c r="L51" s="11">
        <f>IF($F51&gt;=$B$14, 0, IF(LOWER(LEFT($B$2,1))="s", ($B$3-($F51)*($B$3/ROUND($B$4*12,0)+$B$10)),$B$3-($F51*$B$6-SUM(G$3:G51)+$B$10*$F51)))</f>
        <v>2128506.41025641</v>
      </c>
      <c r="M51" s="11">
        <f>IF(F51&gt;=ROUND($B$4*12,0),0,IF(LOWER(LEFT($B$2,1))="s", ($B$3-($B$3/ROUND($B$4*12,0))*F51),$B$3-(F51*$B$6-SUM(H$3:H51))))</f>
        <v>2195881.41025641</v>
      </c>
    </row>
    <row r="52" spans="1:13" x14ac:dyDescent="0.6">
      <c r="A52" s="4"/>
      <c r="B52" s="4"/>
      <c r="C52" s="4"/>
      <c r="D52" s="4"/>
      <c r="E52" s="23"/>
      <c r="F52" s="14">
        <v>50</v>
      </c>
      <c r="G52" s="15">
        <f>IF(F52&gt;$B$14, 0, IF(LOWER(LEFT($B$2,1))="s", ($B$3-($F52-1)*($B$3/ROUND($B$4*12,0)+$B$10))*($B$5/12),IF(F52=$B$14, ($B$3-((F52-1)*($B$10+$B$6)-SUM(G$3:G51)))*($B$5/12), ABS(IPMT($B$5/12,$F52,NPER($B$5/12,-ABS($B$6)-$B$10,$B$3,0),$B$3)))))</f>
        <v>9737.9168269230759</v>
      </c>
      <c r="H52" s="16">
        <f t="shared" si="0"/>
        <v>10046.157451923076</v>
      </c>
      <c r="I52" s="15">
        <f t="shared" si="1"/>
        <v>308.24062500000036</v>
      </c>
      <c r="J52" s="16">
        <f>IF(H52=0, 0, ROUND(SUM(H$3:H52)-SUM(G$3:G52),0))</f>
        <v>7706</v>
      </c>
      <c r="K52" s="16">
        <f t="shared" si="2"/>
        <v>68000</v>
      </c>
      <c r="L52" s="15">
        <f>IF($F52&gt;=$B$14, 0, IF(LOWER(LEFT($B$2,1))="s", ($B$3-($F52)*($B$3/ROUND($B$4*12,0)+$B$10)),$B$3-($F52*$B$6-SUM(G$3:G52)+$B$10*$F52)))</f>
        <v>2118782.051282051</v>
      </c>
      <c r="M52" s="15">
        <f>IF(F52&gt;=ROUND($B$4*12,0),0,IF(LOWER(LEFT($B$2,1))="s", ($B$3-($B$3/ROUND($B$4*12,0))*F52),$B$3-(F52*$B$6-SUM(H$3:H52))))</f>
        <v>2187532.051282051</v>
      </c>
    </row>
    <row r="53" spans="1:13" x14ac:dyDescent="0.6">
      <c r="A53" s="4"/>
      <c r="B53" s="4"/>
      <c r="C53" s="4"/>
      <c r="D53" s="4"/>
      <c r="E53" s="23"/>
      <c r="F53" s="10">
        <v>51</v>
      </c>
      <c r="G53" s="11">
        <f>IF(F53&gt;$B$14, 0, IF(LOWER(LEFT($B$2,1))="s", ($B$3-($F53-1)*($B$3/ROUND($B$4*12,0)+$B$10))*($B$5/12),IF(F53=$B$14, ($B$3-((F53-1)*($B$10+$B$6)-SUM(G$3:G52)))*($B$5/12), ABS(IPMT($B$5/12,$F53,NPER($B$5/12,-ABS($B$6)-$B$10,$B$3,0),$B$3)))))</f>
        <v>9693.4278846153829</v>
      </c>
      <c r="H53" s="12">
        <f t="shared" si="0"/>
        <v>10007.959134615383</v>
      </c>
      <c r="I53" s="11">
        <f t="shared" si="1"/>
        <v>314.53125</v>
      </c>
      <c r="J53" s="12">
        <f>IF(H53=0, 0, ROUND(SUM(H$3:H53)-SUM(G$3:G53),0))</f>
        <v>8021</v>
      </c>
      <c r="K53" s="12">
        <f t="shared" si="2"/>
        <v>70000</v>
      </c>
      <c r="L53" s="11">
        <f>IF($F53&gt;=$B$14, 0, IF(LOWER(LEFT($B$2,1))="s", ($B$3-($F53)*($B$3/ROUND($B$4*12,0)+$B$10)),$B$3-($F53*$B$6-SUM(G$3:G53)+$B$10*$F53)))</f>
        <v>2109057.6923076925</v>
      </c>
      <c r="M53" s="11">
        <f>IF(F53&gt;=ROUND($B$4*12,0),0,IF(LOWER(LEFT($B$2,1))="s", ($B$3-($B$3/ROUND($B$4*12,0))*F53),$B$3-(F53*$B$6-SUM(H$3:H53))))</f>
        <v>2179182.6923076925</v>
      </c>
    </row>
    <row r="54" spans="1:13" x14ac:dyDescent="0.6">
      <c r="A54" s="4"/>
      <c r="B54" s="4"/>
      <c r="C54" s="4"/>
      <c r="D54" s="4"/>
      <c r="E54" s="23"/>
      <c r="F54" s="14">
        <v>52</v>
      </c>
      <c r="G54" s="15">
        <f>IF(F54&gt;$B$14, 0, IF(LOWER(LEFT($B$2,1))="s", ($B$3-($F54-1)*($B$3/ROUND($B$4*12,0)+$B$10))*($B$5/12),IF(F54=$B$14, ($B$3-((F54-1)*($B$10+$B$6)-SUM(G$3:G53)))*($B$5/12), ABS(IPMT($B$5/12,$F54,NPER($B$5/12,-ABS($B$6)-$B$10,$B$3,0),$B$3)))))</f>
        <v>9648.9389423076937</v>
      </c>
      <c r="H54" s="16">
        <f t="shared" si="0"/>
        <v>9969.7608173076933</v>
      </c>
      <c r="I54" s="15">
        <f t="shared" si="1"/>
        <v>320.82187499999964</v>
      </c>
      <c r="J54" s="16">
        <f>IF(H54=0, 0, ROUND(SUM(H$3:H54)-SUM(G$3:G54),0))</f>
        <v>8341</v>
      </c>
      <c r="K54" s="16">
        <f t="shared" si="2"/>
        <v>71000</v>
      </c>
      <c r="L54" s="15">
        <f>IF($F54&gt;=$B$14, 0, IF(LOWER(LEFT($B$2,1))="s", ($B$3-($F54)*($B$3/ROUND($B$4*12,0)+$B$10)),$B$3-($F54*$B$6-SUM(G$3:G54)+$B$10*$F54)))</f>
        <v>2099333.3333333335</v>
      </c>
      <c r="M54" s="15">
        <f>IF(F54&gt;=ROUND($B$4*12,0),0,IF(LOWER(LEFT($B$2,1))="s", ($B$3-($B$3/ROUND($B$4*12,0))*F54),$B$3-(F54*$B$6-SUM(H$3:H54))))</f>
        <v>2170833.3333333335</v>
      </c>
    </row>
    <row r="55" spans="1:13" x14ac:dyDescent="0.6">
      <c r="A55" s="4"/>
      <c r="B55" s="4"/>
      <c r="C55" s="4"/>
      <c r="D55" s="4"/>
      <c r="E55" s="23"/>
      <c r="F55" s="10">
        <v>53</v>
      </c>
      <c r="G55" s="11">
        <f>IF(F55&gt;$B$14, 0, IF(LOWER(LEFT($B$2,1))="s", ($B$3-($F55-1)*($B$3/ROUND($B$4*12,0)+$B$10))*($B$5/12),IF(F55=$B$14, ($B$3-((F55-1)*($B$10+$B$6)-SUM(G$3:G54)))*($B$5/12), ABS(IPMT($B$5/12,$F55,NPER($B$5/12,-ABS($B$6)-$B$10,$B$3,0),$B$3)))))</f>
        <v>9604.4500000000007</v>
      </c>
      <c r="H55" s="12">
        <f t="shared" si="0"/>
        <v>9931.5625</v>
      </c>
      <c r="I55" s="11">
        <f t="shared" si="1"/>
        <v>327.11249999999927</v>
      </c>
      <c r="J55" s="12">
        <f>IF(H55=0, 0, ROUND(SUM(H$3:H55)-SUM(G$3:G55),0))</f>
        <v>8668</v>
      </c>
      <c r="K55" s="12">
        <f t="shared" si="2"/>
        <v>72000</v>
      </c>
      <c r="L55" s="11">
        <f>IF($F55&gt;=$B$14, 0, IF(LOWER(LEFT($B$2,1))="s", ($B$3-($F55)*($B$3/ROUND($B$4*12,0)+$B$10)),$B$3-($F55*$B$6-SUM(G$3:G55)+$B$10*$F55)))</f>
        <v>2089608.9743589745</v>
      </c>
      <c r="M55" s="11">
        <f>IF(F55&gt;=ROUND($B$4*12,0),0,IF(LOWER(LEFT($B$2,1))="s", ($B$3-($B$3/ROUND($B$4*12,0))*F55),$B$3-(F55*$B$6-SUM(H$3:H55))))</f>
        <v>2162483.9743589745</v>
      </c>
    </row>
    <row r="56" spans="1:13" x14ac:dyDescent="0.6">
      <c r="A56" s="4"/>
      <c r="B56" s="4"/>
      <c r="C56" s="4"/>
      <c r="D56" s="4"/>
      <c r="E56" s="23"/>
      <c r="F56" s="14">
        <v>54</v>
      </c>
      <c r="G56" s="15">
        <f>IF(F56&gt;$B$14, 0, IF(LOWER(LEFT($B$2,1))="s", ($B$3-($F56-1)*($B$3/ROUND($B$4*12,0)+$B$10))*($B$5/12),IF(F56=$B$14, ($B$3-((F56-1)*($B$10+$B$6)-SUM(G$3:G55)))*($B$5/12), ABS(IPMT($B$5/12,$F56,NPER($B$5/12,-ABS($B$6)-$B$10,$B$3,0),$B$3)))))</f>
        <v>9559.9610576923078</v>
      </c>
      <c r="H56" s="16">
        <f t="shared" si="0"/>
        <v>9893.3641826923085</v>
      </c>
      <c r="I56" s="15">
        <f t="shared" si="1"/>
        <v>333.40312500000073</v>
      </c>
      <c r="J56" s="16">
        <f>IF(H56=0, 0, ROUND(SUM(H$3:H56)-SUM(G$3:G56),0))</f>
        <v>9002</v>
      </c>
      <c r="K56" s="16">
        <f t="shared" si="2"/>
        <v>74000</v>
      </c>
      <c r="L56" s="15">
        <f>IF($F56&gt;=$B$14, 0, IF(LOWER(LEFT($B$2,1))="s", ($B$3-($F56)*($B$3/ROUND($B$4*12,0)+$B$10)),$B$3-($F56*$B$6-SUM(G$3:G56)+$B$10*$F56)))</f>
        <v>2079884.6153846155</v>
      </c>
      <c r="M56" s="15">
        <f>IF(F56&gt;=ROUND($B$4*12,0),0,IF(LOWER(LEFT($B$2,1))="s", ($B$3-($B$3/ROUND($B$4*12,0))*F56),$B$3-(F56*$B$6-SUM(H$3:H56))))</f>
        <v>2154134.6153846155</v>
      </c>
    </row>
    <row r="57" spans="1:13" x14ac:dyDescent="0.6">
      <c r="A57" s="4"/>
      <c r="B57" s="4"/>
      <c r="C57" s="4"/>
      <c r="D57" s="4"/>
      <c r="E57" s="23"/>
      <c r="F57" s="10">
        <v>55</v>
      </c>
      <c r="G57" s="11">
        <f>IF(F57&gt;$B$14, 0, IF(LOWER(LEFT($B$2,1))="s", ($B$3-($F57-1)*($B$3/ROUND($B$4*12,0)+$B$10))*($B$5/12),IF(F57=$B$14, ($B$3-((F57-1)*($B$10+$B$6)-SUM(G$3:G56)))*($B$5/12), ABS(IPMT($B$5/12,$F57,NPER($B$5/12,-ABS($B$6)-$B$10,$B$3,0),$B$3)))))</f>
        <v>9515.4721153846167</v>
      </c>
      <c r="H57" s="12">
        <f t="shared" si="0"/>
        <v>9855.1658653846152</v>
      </c>
      <c r="I57" s="11">
        <f t="shared" si="1"/>
        <v>339.69374999999854</v>
      </c>
      <c r="J57" s="12">
        <f>IF(H57=0, 0, ROUND(SUM(H$3:H57)-SUM(G$3:G57),0))</f>
        <v>9342</v>
      </c>
      <c r="K57" s="12">
        <f t="shared" si="2"/>
        <v>75000</v>
      </c>
      <c r="L57" s="11">
        <f>IF($F57&gt;=$B$14, 0, IF(LOWER(LEFT($B$2,1))="s", ($B$3-($F57)*($B$3/ROUND($B$4*12,0)+$B$10)),$B$3-($F57*$B$6-SUM(G$3:G57)+$B$10*$F57)))</f>
        <v>2070160.2564102565</v>
      </c>
      <c r="M57" s="11">
        <f>IF(F57&gt;=ROUND($B$4*12,0),0,IF(LOWER(LEFT($B$2,1))="s", ($B$3-($B$3/ROUND($B$4*12,0))*F57),$B$3-(F57*$B$6-SUM(H$3:H57))))</f>
        <v>2145785.2564102565</v>
      </c>
    </row>
    <row r="58" spans="1:13" x14ac:dyDescent="0.6">
      <c r="A58" s="4"/>
      <c r="B58" s="4"/>
      <c r="C58" s="4"/>
      <c r="D58" s="4"/>
      <c r="E58" s="23"/>
      <c r="F58" s="14">
        <v>56</v>
      </c>
      <c r="G58" s="15">
        <f>IF(F58&gt;$B$14, 0, IF(LOWER(LEFT($B$2,1))="s", ($B$3-($F58-1)*($B$3/ROUND($B$4*12,0)+$B$10))*($B$5/12),IF(F58=$B$14, ($B$3-((F58-1)*($B$10+$B$6)-SUM(G$3:G57)))*($B$5/12), ABS(IPMT($B$5/12,$F58,NPER($B$5/12,-ABS($B$6)-$B$10,$B$3,0),$B$3)))))</f>
        <v>9470.9831730769238</v>
      </c>
      <c r="H58" s="16">
        <f t="shared" si="0"/>
        <v>9816.9675480769238</v>
      </c>
      <c r="I58" s="15">
        <f t="shared" si="1"/>
        <v>345.984375</v>
      </c>
      <c r="J58" s="16">
        <f>IF(H58=0, 0, ROUND(SUM(H$3:H58)-SUM(G$3:G58),0))</f>
        <v>9688</v>
      </c>
      <c r="K58" s="16">
        <f t="shared" si="2"/>
        <v>77000</v>
      </c>
      <c r="L58" s="15">
        <f>IF($F58&gt;=$B$14, 0, IF(LOWER(LEFT($B$2,1))="s", ($B$3-($F58)*($B$3/ROUND($B$4*12,0)+$B$10)),$B$3-($F58*$B$6-SUM(G$3:G58)+$B$10*$F58)))</f>
        <v>2060435.8974358975</v>
      </c>
      <c r="M58" s="15">
        <f>IF(F58&gt;=ROUND($B$4*12,0),0,IF(LOWER(LEFT($B$2,1))="s", ($B$3-($B$3/ROUND($B$4*12,0))*F58),$B$3-(F58*$B$6-SUM(H$3:H58))))</f>
        <v>2137435.8974358975</v>
      </c>
    </row>
    <row r="59" spans="1:13" x14ac:dyDescent="0.6">
      <c r="A59" s="4"/>
      <c r="B59" s="4"/>
      <c r="C59" s="4"/>
      <c r="D59" s="4"/>
      <c r="E59" s="23"/>
      <c r="F59" s="10">
        <v>57</v>
      </c>
      <c r="G59" s="11">
        <f>IF(F59&gt;$B$14, 0, IF(LOWER(LEFT($B$2,1))="s", ($B$3-($F59-1)*($B$3/ROUND($B$4*12,0)+$B$10))*($B$5/12),IF(F59=$B$14, ($B$3-((F59-1)*($B$10+$B$6)-SUM(G$3:G58)))*($B$5/12), ABS(IPMT($B$5/12,$F59,NPER($B$5/12,-ABS($B$6)-$B$10,$B$3,0),$B$3)))))</f>
        <v>9426.4942307692309</v>
      </c>
      <c r="H59" s="12">
        <f t="shared" si="0"/>
        <v>9778.7692307692305</v>
      </c>
      <c r="I59" s="11">
        <f t="shared" si="1"/>
        <v>352.27499999999964</v>
      </c>
      <c r="J59" s="12">
        <f>IF(H59=0, 0, ROUND(SUM(H$3:H59)-SUM(G$3:G59),0))</f>
        <v>10040</v>
      </c>
      <c r="K59" s="12">
        <f t="shared" si="2"/>
        <v>78000</v>
      </c>
      <c r="L59" s="11">
        <f>IF($F59&gt;=$B$14, 0, IF(LOWER(LEFT($B$2,1))="s", ($B$3-($F59)*($B$3/ROUND($B$4*12,0)+$B$10)),$B$3-($F59*$B$6-SUM(G$3:G59)+$B$10*$F59)))</f>
        <v>2050711.5384615385</v>
      </c>
      <c r="M59" s="11">
        <f>IF(F59&gt;=ROUND($B$4*12,0),0,IF(LOWER(LEFT($B$2,1))="s", ($B$3-($B$3/ROUND($B$4*12,0))*F59),$B$3-(F59*$B$6-SUM(H$3:H59))))</f>
        <v>2129086.5384615385</v>
      </c>
    </row>
    <row r="60" spans="1:13" x14ac:dyDescent="0.6">
      <c r="A60" s="4"/>
      <c r="B60" s="4"/>
      <c r="C60" s="4"/>
      <c r="D60" s="4"/>
      <c r="E60" s="23"/>
      <c r="F60" s="14">
        <v>58</v>
      </c>
      <c r="G60" s="15">
        <f>IF(F60&gt;$B$14, 0, IF(LOWER(LEFT($B$2,1))="s", ($B$3-($F60-1)*($B$3/ROUND($B$4*12,0)+$B$10))*($B$5/12),IF(F60=$B$14, ($B$3-((F60-1)*($B$10+$B$6)-SUM(G$3:G59)))*($B$5/12), ABS(IPMT($B$5/12,$F60,NPER($B$5/12,-ABS($B$6)-$B$10,$B$3,0),$B$3)))))</f>
        <v>9382.0052884615379</v>
      </c>
      <c r="H60" s="16">
        <f t="shared" si="0"/>
        <v>9740.570913461539</v>
      </c>
      <c r="I60" s="15">
        <f t="shared" si="1"/>
        <v>358.56562500000109</v>
      </c>
      <c r="J60" s="16">
        <f>IF(H60=0, 0, ROUND(SUM(H$3:H60)-SUM(G$3:G60),0))</f>
        <v>10398</v>
      </c>
      <c r="K60" s="16">
        <f t="shared" si="2"/>
        <v>79000</v>
      </c>
      <c r="L60" s="15">
        <f>IF($F60&gt;=$B$14, 0, IF(LOWER(LEFT($B$2,1))="s", ($B$3-($F60)*($B$3/ROUND($B$4*12,0)+$B$10)),$B$3-($F60*$B$6-SUM(G$3:G60)+$B$10*$F60)))</f>
        <v>2040987.1794871795</v>
      </c>
      <c r="M60" s="15">
        <f>IF(F60&gt;=ROUND($B$4*12,0),0,IF(LOWER(LEFT($B$2,1))="s", ($B$3-($B$3/ROUND($B$4*12,0))*F60),$B$3-(F60*$B$6-SUM(H$3:H60))))</f>
        <v>2120737.1794871795</v>
      </c>
    </row>
    <row r="61" spans="1:13" x14ac:dyDescent="0.6">
      <c r="A61" s="4"/>
      <c r="B61" s="4"/>
      <c r="C61" s="4"/>
      <c r="D61" s="4"/>
      <c r="E61" s="23"/>
      <c r="F61" s="10">
        <v>59</v>
      </c>
      <c r="G61" s="11">
        <f>IF(F61&gt;$B$14, 0, IF(LOWER(LEFT($B$2,1))="s", ($B$3-($F61-1)*($B$3/ROUND($B$4*12,0)+$B$10))*($B$5/12),IF(F61=$B$14, ($B$3-((F61-1)*($B$10+$B$6)-SUM(G$3:G60)))*($B$5/12), ABS(IPMT($B$5/12,$F61,NPER($B$5/12,-ABS($B$6)-$B$10,$B$3,0),$B$3)))))</f>
        <v>9337.5163461538468</v>
      </c>
      <c r="H61" s="12">
        <f t="shared" si="0"/>
        <v>9702.3725961538457</v>
      </c>
      <c r="I61" s="11">
        <f t="shared" si="1"/>
        <v>364.85624999999891</v>
      </c>
      <c r="J61" s="12">
        <f>IF(H61=0, 0, ROUND(SUM(H$3:H61)-SUM(G$3:G61),0))</f>
        <v>10763</v>
      </c>
      <c r="K61" s="12">
        <f t="shared" si="2"/>
        <v>81000</v>
      </c>
      <c r="L61" s="11">
        <f>IF($F61&gt;=$B$14, 0, IF(LOWER(LEFT($B$2,1))="s", ($B$3-($F61)*($B$3/ROUND($B$4*12,0)+$B$10)),$B$3-($F61*$B$6-SUM(G$3:G61)+$B$10*$F61)))</f>
        <v>2031262.8205128205</v>
      </c>
      <c r="M61" s="11">
        <f>IF(F61&gt;=ROUND($B$4*12,0),0,IF(LOWER(LEFT($B$2,1))="s", ($B$3-($B$3/ROUND($B$4*12,0))*F61),$B$3-(F61*$B$6-SUM(H$3:H61))))</f>
        <v>2112387.8205128205</v>
      </c>
    </row>
    <row r="62" spans="1:13" x14ac:dyDescent="0.6">
      <c r="A62" s="4"/>
      <c r="B62" s="4"/>
      <c r="C62" s="4"/>
      <c r="D62" s="4"/>
      <c r="E62" s="23" t="s">
        <v>28</v>
      </c>
      <c r="F62" s="14">
        <v>60</v>
      </c>
      <c r="G62" s="15">
        <f>IF(F62&gt;$B$14, 0, IF(LOWER(LEFT($B$2,1))="s", ($B$3-($F62-1)*($B$3/ROUND($B$4*12,0)+$B$10))*($B$5/12),IF(F62=$B$14, ($B$3-((F62-1)*($B$10+$B$6)-SUM(G$3:G61)))*($B$5/12), ABS(IPMT($B$5/12,$F62,NPER($B$5/12,-ABS($B$6)-$B$10,$B$3,0),$B$3)))))</f>
        <v>9293.0274038461539</v>
      </c>
      <c r="H62" s="16">
        <f t="shared" si="0"/>
        <v>9664.1742788461543</v>
      </c>
      <c r="I62" s="15">
        <f t="shared" si="1"/>
        <v>371.14687500000036</v>
      </c>
      <c r="J62" s="16">
        <f>IF(H62=0, 0, ROUND(SUM(H$3:H62)-SUM(G$3:G62),0))</f>
        <v>11134</v>
      </c>
      <c r="K62" s="16">
        <f t="shared" si="2"/>
        <v>82000</v>
      </c>
      <c r="L62" s="15">
        <f>IF($F62&gt;=$B$14, 0, IF(LOWER(LEFT($B$2,1))="s", ($B$3-($F62)*($B$3/ROUND($B$4*12,0)+$B$10)),$B$3-($F62*$B$6-SUM(G$3:G62)+$B$10*$F62)))</f>
        <v>2021538.4615384615</v>
      </c>
      <c r="M62" s="15">
        <f>IF(F62&gt;=ROUND($B$4*12,0),0,IF(LOWER(LEFT($B$2,1))="s", ($B$3-($B$3/ROUND($B$4*12,0))*F62),$B$3-(F62*$B$6-SUM(H$3:H62))))</f>
        <v>2104038.4615384615</v>
      </c>
    </row>
    <row r="63" spans="1:13" x14ac:dyDescent="0.6">
      <c r="A63" s="4"/>
      <c r="B63" s="4"/>
      <c r="C63" s="4"/>
      <c r="D63" s="4"/>
      <c r="E63" s="23"/>
      <c r="F63" s="10">
        <v>61</v>
      </c>
      <c r="G63" s="11">
        <f>IF(F63&gt;$B$14, 0, IF(LOWER(LEFT($B$2,1))="s", ($B$3-($F63-1)*($B$3/ROUND($B$4*12,0)+$B$10))*($B$5/12),IF(F63=$B$14, ($B$3-((F63-1)*($B$10+$B$6)-SUM(G$3:G62)))*($B$5/12), ABS(IPMT($B$5/12,$F63,NPER($B$5/12,-ABS($B$6)-$B$10,$B$3,0),$B$3)))))</f>
        <v>9248.538461538461</v>
      </c>
      <c r="H63" s="12">
        <f t="shared" si="0"/>
        <v>9625.975961538461</v>
      </c>
      <c r="I63" s="11">
        <f t="shared" si="1"/>
        <v>377.4375</v>
      </c>
      <c r="J63" s="12">
        <f>IF(H63=0, 0, ROUND(SUM(H$3:H63)-SUM(G$3:G63),0))</f>
        <v>11512</v>
      </c>
      <c r="K63" s="12">
        <f t="shared" si="2"/>
        <v>83000</v>
      </c>
      <c r="L63" s="11">
        <f>IF($F63&gt;=$B$14, 0, IF(LOWER(LEFT($B$2,1))="s", ($B$3-($F63)*($B$3/ROUND($B$4*12,0)+$B$10)),$B$3-($F63*$B$6-SUM(G$3:G63)+$B$10*$F63)))</f>
        <v>2011814.1025641025</v>
      </c>
      <c r="M63" s="11">
        <f>IF(F63&gt;=ROUND($B$4*12,0),0,IF(LOWER(LEFT($B$2,1))="s", ($B$3-($B$3/ROUND($B$4*12,0))*F63),$B$3-(F63*$B$6-SUM(H$3:H63))))</f>
        <v>2095689.1025641025</v>
      </c>
    </row>
    <row r="64" spans="1:13" x14ac:dyDescent="0.6">
      <c r="A64" s="4"/>
      <c r="B64" s="4"/>
      <c r="C64" s="4"/>
      <c r="D64" s="4"/>
      <c r="E64" s="23"/>
      <c r="F64" s="14">
        <v>62</v>
      </c>
      <c r="G64" s="15">
        <f>IF(F64&gt;$B$14, 0, IF(LOWER(LEFT($B$2,1))="s", ($B$3-($F64-1)*($B$3/ROUND($B$4*12,0)+$B$10))*($B$5/12),IF(F64=$B$14, ($B$3-((F64-1)*($B$10+$B$6)-SUM(G$3:G63)))*($B$5/12), ABS(IPMT($B$5/12,$F64,NPER($B$5/12,-ABS($B$6)-$B$10,$B$3,0),$B$3)))))</f>
        <v>9204.0495192307699</v>
      </c>
      <c r="H64" s="16">
        <f t="shared" si="0"/>
        <v>9587.7776442307695</v>
      </c>
      <c r="I64" s="15">
        <f t="shared" si="1"/>
        <v>383.72812499999964</v>
      </c>
      <c r="J64" s="16">
        <f>IF(H64=0, 0, ROUND(SUM(H$3:H64)-SUM(G$3:G64),0))</f>
        <v>11896</v>
      </c>
      <c r="K64" s="16">
        <f t="shared" si="2"/>
        <v>85000</v>
      </c>
      <c r="L64" s="15">
        <f>IF($F64&gt;=$B$14, 0, IF(LOWER(LEFT($B$2,1))="s", ($B$3-($F64)*($B$3/ROUND($B$4*12,0)+$B$10)),$B$3-($F64*$B$6-SUM(G$3:G64)+$B$10*$F64)))</f>
        <v>2002089.7435897435</v>
      </c>
      <c r="M64" s="15">
        <f>IF(F64&gt;=ROUND($B$4*12,0),0,IF(LOWER(LEFT($B$2,1))="s", ($B$3-($B$3/ROUND($B$4*12,0))*F64),$B$3-(F64*$B$6-SUM(H$3:H64))))</f>
        <v>2087339.7435897435</v>
      </c>
    </row>
    <row r="65" spans="1:13" x14ac:dyDescent="0.6">
      <c r="A65" s="4"/>
      <c r="B65" s="4"/>
      <c r="C65" s="4"/>
      <c r="D65" s="4"/>
      <c r="E65" s="23"/>
      <c r="F65" s="10">
        <v>63</v>
      </c>
      <c r="G65" s="11">
        <f>IF(F65&gt;$B$14, 0, IF(LOWER(LEFT($B$2,1))="s", ($B$3-($F65-1)*($B$3/ROUND($B$4*12,0)+$B$10))*($B$5/12),IF(F65=$B$14, ($B$3-((F65-1)*($B$10+$B$6)-SUM(G$3:G64)))*($B$5/12), ABS(IPMT($B$5/12,$F65,NPER($B$5/12,-ABS($B$6)-$B$10,$B$3,0),$B$3)))))</f>
        <v>9159.560576923077</v>
      </c>
      <c r="H65" s="12">
        <f t="shared" si="0"/>
        <v>9549.5793269230762</v>
      </c>
      <c r="I65" s="11">
        <f t="shared" si="1"/>
        <v>390.01874999999927</v>
      </c>
      <c r="J65" s="12">
        <f>IF(H65=0, 0, ROUND(SUM(H$3:H65)-SUM(G$3:G65),0))</f>
        <v>12286</v>
      </c>
      <c r="K65" s="12">
        <f t="shared" si="2"/>
        <v>86000</v>
      </c>
      <c r="L65" s="11">
        <f>IF($F65&gt;=$B$14, 0, IF(LOWER(LEFT($B$2,1))="s", ($B$3-($F65)*($B$3/ROUND($B$4*12,0)+$B$10)),$B$3-($F65*$B$6-SUM(G$3:G65)+$B$10*$F65)))</f>
        <v>1992365.3846153845</v>
      </c>
      <c r="M65" s="11">
        <f>IF(F65&gt;=ROUND($B$4*12,0),0,IF(LOWER(LEFT($B$2,1))="s", ($B$3-($B$3/ROUND($B$4*12,0))*F65),$B$3-(F65*$B$6-SUM(H$3:H65))))</f>
        <v>2078990.3846153845</v>
      </c>
    </row>
    <row r="66" spans="1:13" x14ac:dyDescent="0.6">
      <c r="A66" s="4"/>
      <c r="B66" s="4"/>
      <c r="C66" s="4"/>
      <c r="D66" s="4"/>
      <c r="E66" s="23"/>
      <c r="F66" s="14">
        <v>64</v>
      </c>
      <c r="G66" s="15">
        <f>IF(F66&gt;$B$14, 0, IF(LOWER(LEFT($B$2,1))="s", ($B$3-($F66-1)*($B$3/ROUND($B$4*12,0)+$B$10))*($B$5/12),IF(F66=$B$14, ($B$3-((F66-1)*($B$10+$B$6)-SUM(G$3:G65)))*($B$5/12), ABS(IPMT($B$5/12,$F66,NPER($B$5/12,-ABS($B$6)-$B$10,$B$3,0),$B$3)))))</f>
        <v>9115.071634615384</v>
      </c>
      <c r="H66" s="16">
        <f t="shared" si="0"/>
        <v>9511.3810096153848</v>
      </c>
      <c r="I66" s="15">
        <f t="shared" si="1"/>
        <v>396.30937500000073</v>
      </c>
      <c r="J66" s="16">
        <f>IF(H66=0, 0, ROUND(SUM(H$3:H66)-SUM(G$3:G66),0))</f>
        <v>12682</v>
      </c>
      <c r="K66" s="16">
        <f t="shared" si="2"/>
        <v>88000</v>
      </c>
      <c r="L66" s="15">
        <f>IF($F66&gt;=$B$14, 0, IF(LOWER(LEFT($B$2,1))="s", ($B$3-($F66)*($B$3/ROUND($B$4*12,0)+$B$10)),$B$3-($F66*$B$6-SUM(G$3:G66)+$B$10*$F66)))</f>
        <v>1982641.0256410255</v>
      </c>
      <c r="M66" s="15">
        <f>IF(F66&gt;=ROUND($B$4*12,0),0,IF(LOWER(LEFT($B$2,1))="s", ($B$3-($B$3/ROUND($B$4*12,0))*F66),$B$3-(F66*$B$6-SUM(H$3:H66))))</f>
        <v>2070641.0256410255</v>
      </c>
    </row>
    <row r="67" spans="1:13" x14ac:dyDescent="0.6">
      <c r="A67" s="4"/>
      <c r="B67" s="4"/>
      <c r="C67" s="4"/>
      <c r="D67" s="4"/>
      <c r="E67" s="23"/>
      <c r="F67" s="10">
        <v>65</v>
      </c>
      <c r="G67" s="11">
        <f>IF(F67&gt;$B$14, 0, IF(LOWER(LEFT($B$2,1))="s", ($B$3-($F67-1)*($B$3/ROUND($B$4*12,0)+$B$10))*($B$5/12),IF(F67=$B$14, ($B$3-((F67-1)*($B$10+$B$6)-SUM(G$3:G66)))*($B$5/12), ABS(IPMT($B$5/12,$F67,NPER($B$5/12,-ABS($B$6)-$B$10,$B$3,0),$B$3)))))</f>
        <v>9070.5826923076911</v>
      </c>
      <c r="H67" s="12">
        <f t="shared" ref="H67:H130" si="3">IF(OR($B$3&lt;=0,F67&gt;ROUND($B$4*12,0)),0,IF(LOWER(LEFT($B$2,1))="s", ($B$3-(F67-1)*($B$3/ROUND($B$4*12,0)))*($B$5/12),ABS(IPMT($B$5/12,F67,ROUND(NPER($B$5/12,-ABS($B$6),$B$3,0),0),$B$3))))</f>
        <v>9473.1826923076915</v>
      </c>
      <c r="I67" s="11">
        <f t="shared" ref="I67:I130" si="4">H67-G67</f>
        <v>402.60000000000036</v>
      </c>
      <c r="J67" s="12">
        <f>IF(H67=0, 0, ROUND(SUM(H$3:H67)-SUM(G$3:G67),0))</f>
        <v>13085</v>
      </c>
      <c r="K67" s="12">
        <f t="shared" si="2"/>
        <v>89000</v>
      </c>
      <c r="L67" s="11">
        <f>IF($F67&gt;=$B$14, 0, IF(LOWER(LEFT($B$2,1))="s", ($B$3-($F67)*($B$3/ROUND($B$4*12,0)+$B$10)),$B$3-($F67*$B$6-SUM(G$3:G67)+$B$10*$F67)))</f>
        <v>1972916.6666666665</v>
      </c>
      <c r="M67" s="11">
        <f>IF(F67&gt;=ROUND($B$4*12,0),0,IF(LOWER(LEFT($B$2,1))="s", ($B$3-($B$3/ROUND($B$4*12,0))*F67),$B$3-(F67*$B$6-SUM(H$3:H67))))</f>
        <v>2062291.6666666665</v>
      </c>
    </row>
    <row r="68" spans="1:13" x14ac:dyDescent="0.6">
      <c r="A68" s="4"/>
      <c r="B68" s="4"/>
      <c r="C68" s="4"/>
      <c r="D68" s="4"/>
      <c r="E68" s="23"/>
      <c r="F68" s="14">
        <v>66</v>
      </c>
      <c r="G68" s="15">
        <f>IF(F68&gt;$B$14, 0, IF(LOWER(LEFT($B$2,1))="s", ($B$3-($F68-1)*($B$3/ROUND($B$4*12,0)+$B$10))*($B$5/12),IF(F68=$B$14, ($B$3-((F68-1)*($B$10+$B$6)-SUM(G$3:G67)))*($B$5/12), ABS(IPMT($B$5/12,$F68,NPER($B$5/12,-ABS($B$6)-$B$10,$B$3,0),$B$3)))))</f>
        <v>9026.09375</v>
      </c>
      <c r="H68" s="16">
        <f t="shared" si="3"/>
        <v>9434.984375</v>
      </c>
      <c r="I68" s="15">
        <f t="shared" si="4"/>
        <v>408.890625</v>
      </c>
      <c r="J68" s="16">
        <f>IF(H68=0, 0, ROUND(SUM(H$3:H68)-SUM(G$3:G68),0))</f>
        <v>13493</v>
      </c>
      <c r="K68" s="16">
        <f t="shared" ref="K68:K131" si="5">IF(F68&gt;$B$14,"",IF(ROUNDDOWN(M67-L67,-(LEN(TEXT(INT(ABS(M67-L67)),0))-2)) = ROUNDDOWN(M68-L68,-(LEN(TEXT(INT(ABS(M68-L68)),0))-2)), "", ROUNDDOWN(M68-L68,-(LEN(TEXT(INT(ABS(M68-L68)),0))-2))))</f>
        <v>90000</v>
      </c>
      <c r="L68" s="15">
        <f>IF($F68&gt;=$B$14, 0, IF(LOWER(LEFT($B$2,1))="s", ($B$3-($F68)*($B$3/ROUND($B$4*12,0)+$B$10)),$B$3-($F68*$B$6-SUM(G$3:G68)+$B$10*$F68)))</f>
        <v>1963192.3076923075</v>
      </c>
      <c r="M68" s="15">
        <f>IF(F68&gt;=ROUND($B$4*12,0),0,IF(LOWER(LEFT($B$2,1))="s", ($B$3-($B$3/ROUND($B$4*12,0))*F68),$B$3-(F68*$B$6-SUM(H$3:H68))))</f>
        <v>2053942.3076923075</v>
      </c>
    </row>
    <row r="69" spans="1:13" x14ac:dyDescent="0.6">
      <c r="A69" s="4"/>
      <c r="B69" s="4"/>
      <c r="C69" s="4"/>
      <c r="D69" s="4"/>
      <c r="E69" s="23"/>
      <c r="F69" s="10">
        <v>67</v>
      </c>
      <c r="G69" s="11">
        <f>IF(F69&gt;$B$14, 0, IF(LOWER(LEFT($B$2,1))="s", ($B$3-($F69-1)*($B$3/ROUND($B$4*12,0)+$B$10))*($B$5/12),IF(F69=$B$14, ($B$3-((F69-1)*($B$10+$B$6)-SUM(G$3:G68)))*($B$5/12), ABS(IPMT($B$5/12,$F69,NPER($B$5/12,-ABS($B$6)-$B$10,$B$3,0),$B$3)))))</f>
        <v>8981.6048076923071</v>
      </c>
      <c r="H69" s="12">
        <f t="shared" si="3"/>
        <v>9396.7860576923067</v>
      </c>
      <c r="I69" s="11">
        <f t="shared" si="4"/>
        <v>415.18124999999964</v>
      </c>
      <c r="J69" s="12">
        <f>IF(H69=0, 0, ROUND(SUM(H$3:H69)-SUM(G$3:G69),0))</f>
        <v>13909</v>
      </c>
      <c r="K69" s="12">
        <f t="shared" si="5"/>
        <v>92000</v>
      </c>
      <c r="L69" s="11">
        <f>IF($F69&gt;=$B$14, 0, IF(LOWER(LEFT($B$2,1))="s", ($B$3-($F69)*($B$3/ROUND($B$4*12,0)+$B$10)),$B$3-($F69*$B$6-SUM(G$3:G69)+$B$10*$F69)))</f>
        <v>1953467.9487179487</v>
      </c>
      <c r="M69" s="11">
        <f>IF(F69&gt;=ROUND($B$4*12,0),0,IF(LOWER(LEFT($B$2,1))="s", ($B$3-($B$3/ROUND($B$4*12,0))*F69),$B$3-(F69*$B$6-SUM(H$3:H69))))</f>
        <v>2045592.9487179487</v>
      </c>
    </row>
    <row r="70" spans="1:13" x14ac:dyDescent="0.6">
      <c r="A70" s="4"/>
      <c r="B70" s="4"/>
      <c r="C70" s="4"/>
      <c r="D70" s="4"/>
      <c r="E70" s="23"/>
      <c r="F70" s="14">
        <v>68</v>
      </c>
      <c r="G70" s="15">
        <f>IF(F70&gt;$B$14, 0, IF(LOWER(LEFT($B$2,1))="s", ($B$3-($F70-1)*($B$3/ROUND($B$4*12,0)+$B$10))*($B$5/12),IF(F70=$B$14, ($B$3-((F70-1)*($B$10+$B$6)-SUM(G$3:G69)))*($B$5/12), ABS(IPMT($B$5/12,$F70,NPER($B$5/12,-ABS($B$6)-$B$10,$B$3,0),$B$3)))))</f>
        <v>8937.115865384616</v>
      </c>
      <c r="H70" s="16">
        <f t="shared" si="3"/>
        <v>9358.5877403846152</v>
      </c>
      <c r="I70" s="15">
        <f t="shared" si="4"/>
        <v>421.47187499999927</v>
      </c>
      <c r="J70" s="16">
        <f>IF(H70=0, 0, ROUND(SUM(H$3:H70)-SUM(G$3:G70),0))</f>
        <v>14330</v>
      </c>
      <c r="K70" s="16">
        <f t="shared" si="5"/>
        <v>93000</v>
      </c>
      <c r="L70" s="15">
        <f>IF($F70&gt;=$B$14, 0, IF(LOWER(LEFT($B$2,1))="s", ($B$3-($F70)*($B$3/ROUND($B$4*12,0)+$B$10)),$B$3-($F70*$B$6-SUM(G$3:G70)+$B$10*$F70)))</f>
        <v>1943743.5897435897</v>
      </c>
      <c r="M70" s="15">
        <f>IF(F70&gt;=ROUND($B$4*12,0),0,IF(LOWER(LEFT($B$2,1))="s", ($B$3-($B$3/ROUND($B$4*12,0))*F70),$B$3-(F70*$B$6-SUM(H$3:H70))))</f>
        <v>2037243.5897435897</v>
      </c>
    </row>
    <row r="71" spans="1:13" x14ac:dyDescent="0.6">
      <c r="A71" s="4"/>
      <c r="B71" s="4"/>
      <c r="C71" s="4"/>
      <c r="D71" s="4"/>
      <c r="E71" s="23"/>
      <c r="F71" s="10">
        <v>69</v>
      </c>
      <c r="G71" s="11">
        <f>IF(F71&gt;$B$14, 0, IF(LOWER(LEFT($B$2,1))="s", ($B$3-($F71-1)*($B$3/ROUND($B$4*12,0)+$B$10))*($B$5/12),IF(F71=$B$14, ($B$3-((F71-1)*($B$10+$B$6)-SUM(G$3:G70)))*($B$5/12), ABS(IPMT($B$5/12,$F71,NPER($B$5/12,-ABS($B$6)-$B$10,$B$3,0),$B$3)))))</f>
        <v>8892.626923076923</v>
      </c>
      <c r="H71" s="12">
        <f t="shared" si="3"/>
        <v>9320.3894230769238</v>
      </c>
      <c r="I71" s="11">
        <f t="shared" si="4"/>
        <v>427.76250000000073</v>
      </c>
      <c r="J71" s="12">
        <f>IF(H71=0, 0, ROUND(SUM(H$3:H71)-SUM(G$3:G71),0))</f>
        <v>14758</v>
      </c>
      <c r="K71" s="12">
        <f t="shared" si="5"/>
        <v>94000</v>
      </c>
      <c r="L71" s="11">
        <f>IF($F71&gt;=$B$14, 0, IF(LOWER(LEFT($B$2,1))="s", ($B$3-($F71)*($B$3/ROUND($B$4*12,0)+$B$10)),$B$3-($F71*$B$6-SUM(G$3:G71)+$B$10*$F71)))</f>
        <v>1934019.2307692308</v>
      </c>
      <c r="M71" s="11">
        <f>IF(F71&gt;=ROUND($B$4*12,0),0,IF(LOWER(LEFT($B$2,1))="s", ($B$3-($B$3/ROUND($B$4*12,0))*F71),$B$3-(F71*$B$6-SUM(H$3:H71))))</f>
        <v>2028894.2307692308</v>
      </c>
    </row>
    <row r="72" spans="1:13" x14ac:dyDescent="0.6">
      <c r="A72" s="4"/>
      <c r="B72" s="4"/>
      <c r="C72" s="4"/>
      <c r="D72" s="4"/>
      <c r="E72" s="23"/>
      <c r="F72" s="14">
        <v>70</v>
      </c>
      <c r="G72" s="15">
        <f>IF(F72&gt;$B$14, 0, IF(LOWER(LEFT($B$2,1))="s", ($B$3-($F72-1)*($B$3/ROUND($B$4*12,0)+$B$10))*($B$5/12),IF(F72=$B$14, ($B$3-((F72-1)*($B$10+$B$6)-SUM(G$3:G71)))*($B$5/12), ABS(IPMT($B$5/12,$F72,NPER($B$5/12,-ABS($B$6)-$B$10,$B$3,0),$B$3)))))</f>
        <v>8848.1379807692301</v>
      </c>
      <c r="H72" s="16">
        <f t="shared" si="3"/>
        <v>9282.1911057692305</v>
      </c>
      <c r="I72" s="15">
        <f t="shared" si="4"/>
        <v>434.05312500000036</v>
      </c>
      <c r="J72" s="16">
        <f>IF(H72=0, 0, ROUND(SUM(H$3:H72)-SUM(G$3:G72),0))</f>
        <v>15192</v>
      </c>
      <c r="K72" s="16">
        <f t="shared" si="5"/>
        <v>96000</v>
      </c>
      <c r="L72" s="15">
        <f>IF($F72&gt;=$B$14, 0, IF(LOWER(LEFT($B$2,1))="s", ($B$3-($F72)*($B$3/ROUND($B$4*12,0)+$B$10)),$B$3-($F72*$B$6-SUM(G$3:G72)+$B$10*$F72)))</f>
        <v>1924294.8717948718</v>
      </c>
      <c r="M72" s="15">
        <f>IF(F72&gt;=ROUND($B$4*12,0),0,IF(LOWER(LEFT($B$2,1))="s", ($B$3-($B$3/ROUND($B$4*12,0))*F72),$B$3-(F72*$B$6-SUM(H$3:H72))))</f>
        <v>2020544.8717948718</v>
      </c>
    </row>
    <row r="73" spans="1:13" x14ac:dyDescent="0.6">
      <c r="A73" s="4"/>
      <c r="B73" s="4"/>
      <c r="C73" s="4"/>
      <c r="D73" s="4"/>
      <c r="E73" s="23"/>
      <c r="F73" s="10">
        <v>71</v>
      </c>
      <c r="G73" s="11">
        <f>IF(F73&gt;$B$14, 0, IF(LOWER(LEFT($B$2,1))="s", ($B$3-($F73-1)*($B$3/ROUND($B$4*12,0)+$B$10))*($B$5/12),IF(F73=$B$14, ($B$3-((F73-1)*($B$10+$B$6)-SUM(G$3:G72)))*($B$5/12), ABS(IPMT($B$5/12,$F73,NPER($B$5/12,-ABS($B$6)-$B$10,$B$3,0),$B$3)))))</f>
        <v>8803.649038461539</v>
      </c>
      <c r="H73" s="12">
        <f t="shared" si="3"/>
        <v>9243.992788461539</v>
      </c>
      <c r="I73" s="11">
        <f t="shared" si="4"/>
        <v>440.34375</v>
      </c>
      <c r="J73" s="12">
        <f>IF(H73=0, 0, ROUND(SUM(H$3:H73)-SUM(G$3:G73),0))</f>
        <v>15632</v>
      </c>
      <c r="K73" s="12">
        <f t="shared" si="5"/>
        <v>97000</v>
      </c>
      <c r="L73" s="11">
        <f>IF($F73&gt;=$B$14, 0, IF(LOWER(LEFT($B$2,1))="s", ($B$3-($F73)*($B$3/ROUND($B$4*12,0)+$B$10)),$B$3-($F73*$B$6-SUM(G$3:G73)+$B$10*$F73)))</f>
        <v>1914570.5128205128</v>
      </c>
      <c r="M73" s="11">
        <f>IF(F73&gt;=ROUND($B$4*12,0),0,IF(LOWER(LEFT($B$2,1))="s", ($B$3-($B$3/ROUND($B$4*12,0))*F73),$B$3-(F73*$B$6-SUM(H$3:H73))))</f>
        <v>2012195.5128205128</v>
      </c>
    </row>
    <row r="74" spans="1:13" x14ac:dyDescent="0.6">
      <c r="A74" s="4"/>
      <c r="B74" s="4"/>
      <c r="C74" s="4"/>
      <c r="D74" s="4"/>
      <c r="E74" s="23" t="s">
        <v>29</v>
      </c>
      <c r="F74" s="14">
        <v>72</v>
      </c>
      <c r="G74" s="15">
        <f>IF(F74&gt;$B$14, 0, IF(LOWER(LEFT($B$2,1))="s", ($B$3-($F74-1)*($B$3/ROUND($B$4*12,0)+$B$10))*($B$5/12),IF(F74=$B$14, ($B$3-((F74-1)*($B$10+$B$6)-SUM(G$3:G73)))*($B$5/12), ABS(IPMT($B$5/12,$F74,NPER($B$5/12,-ABS($B$6)-$B$10,$B$3,0),$B$3)))))</f>
        <v>8759.1600961538461</v>
      </c>
      <c r="H74" s="16">
        <f t="shared" si="3"/>
        <v>9205.7944711538457</v>
      </c>
      <c r="I74" s="15">
        <f t="shared" si="4"/>
        <v>446.63437499999964</v>
      </c>
      <c r="J74" s="16">
        <f>IF(H74=0, 0, ROUND(SUM(H$3:H74)-SUM(G$3:G74),0))</f>
        <v>16079</v>
      </c>
      <c r="K74" s="16">
        <f t="shared" si="5"/>
        <v>99000</v>
      </c>
      <c r="L74" s="15">
        <f>IF($F74&gt;=$B$14, 0, IF(LOWER(LEFT($B$2,1))="s", ($B$3-($F74)*($B$3/ROUND($B$4*12,0)+$B$10)),$B$3-($F74*$B$6-SUM(G$3:G74)+$B$10*$F74)))</f>
        <v>1904846.153846154</v>
      </c>
      <c r="M74" s="15">
        <f>IF(F74&gt;=ROUND($B$4*12,0),0,IF(LOWER(LEFT($B$2,1))="s", ($B$3-($B$3/ROUND($B$4*12,0))*F74),$B$3-(F74*$B$6-SUM(H$3:H74))))</f>
        <v>2003846.153846154</v>
      </c>
    </row>
    <row r="75" spans="1:13" x14ac:dyDescent="0.6">
      <c r="A75" s="4"/>
      <c r="B75" s="4"/>
      <c r="C75" s="4"/>
      <c r="D75" s="4"/>
      <c r="E75" s="23"/>
      <c r="F75" s="10">
        <v>73</v>
      </c>
      <c r="G75" s="11">
        <f>IF(F75&gt;$B$14, 0, IF(LOWER(LEFT($B$2,1))="s", ($B$3-($F75-1)*($B$3/ROUND($B$4*12,0)+$B$10))*($B$5/12),IF(F75=$B$14, ($B$3-((F75-1)*($B$10+$B$6)-SUM(G$3:G74)))*($B$5/12), ABS(IPMT($B$5/12,$F75,NPER($B$5/12,-ABS($B$6)-$B$10,$B$3,0),$B$3)))))</f>
        <v>8714.671153846155</v>
      </c>
      <c r="H75" s="12">
        <f t="shared" si="3"/>
        <v>9167.5961538461543</v>
      </c>
      <c r="I75" s="11">
        <f t="shared" si="4"/>
        <v>452.92499999999927</v>
      </c>
      <c r="J75" s="12">
        <f>IF(H75=0, 0, ROUND(SUM(H$3:H75)-SUM(G$3:G75),0))</f>
        <v>16532</v>
      </c>
      <c r="K75" s="12">
        <f t="shared" si="5"/>
        <v>100000</v>
      </c>
      <c r="L75" s="11">
        <f>IF($F75&gt;=$B$14, 0, IF(LOWER(LEFT($B$2,1))="s", ($B$3-($F75)*($B$3/ROUND($B$4*12,0)+$B$10)),$B$3-($F75*$B$6-SUM(G$3:G75)+$B$10*$F75)))</f>
        <v>1895121.794871795</v>
      </c>
      <c r="M75" s="11">
        <f>IF(F75&gt;=ROUND($B$4*12,0),0,IF(LOWER(LEFT($B$2,1))="s", ($B$3-($B$3/ROUND($B$4*12,0))*F75),$B$3-(F75*$B$6-SUM(H$3:H75))))</f>
        <v>1995496.794871795</v>
      </c>
    </row>
    <row r="76" spans="1:13" x14ac:dyDescent="0.6">
      <c r="A76" s="4"/>
      <c r="B76" s="4"/>
      <c r="C76" s="4"/>
      <c r="D76" s="4"/>
      <c r="E76" s="23"/>
      <c r="F76" s="14">
        <v>74</v>
      </c>
      <c r="G76" s="15">
        <f>IF(F76&gt;$B$14, 0, IF(LOWER(LEFT($B$2,1))="s", ($B$3-($F76-1)*($B$3/ROUND($B$4*12,0)+$B$10))*($B$5/12),IF(F76=$B$14, ($B$3-((F76-1)*($B$10+$B$6)-SUM(G$3:G75)))*($B$5/12), ABS(IPMT($B$5/12,$F76,NPER($B$5/12,-ABS($B$6)-$B$10,$B$3,0),$B$3)))))</f>
        <v>8670.1822115384621</v>
      </c>
      <c r="H76" s="16">
        <f t="shared" si="3"/>
        <v>9129.3978365384628</v>
      </c>
      <c r="I76" s="15">
        <f t="shared" si="4"/>
        <v>459.21562500000073</v>
      </c>
      <c r="J76" s="16">
        <f>IF(H76=0, 0, ROUND(SUM(H$3:H76)-SUM(G$3:G76),0))</f>
        <v>16991</v>
      </c>
      <c r="K76" s="16" t="str">
        <f t="shared" si="5"/>
        <v/>
      </c>
      <c r="L76" s="15">
        <f>IF($F76&gt;=$B$14, 0, IF(LOWER(LEFT($B$2,1))="s", ($B$3-($F76)*($B$3/ROUND($B$4*12,0)+$B$10)),$B$3-($F76*$B$6-SUM(G$3:G76)+$B$10*$F76)))</f>
        <v>1885397.435897436</v>
      </c>
      <c r="M76" s="15">
        <f>IF(F76&gt;=ROUND($B$4*12,0),0,IF(LOWER(LEFT($B$2,1))="s", ($B$3-($B$3/ROUND($B$4*12,0))*F76),$B$3-(F76*$B$6-SUM(H$3:H76))))</f>
        <v>1987147.435897436</v>
      </c>
    </row>
    <row r="77" spans="1:13" x14ac:dyDescent="0.6">
      <c r="A77" s="4"/>
      <c r="B77" s="4"/>
      <c r="C77" s="4"/>
      <c r="D77" s="4"/>
      <c r="E77" s="23"/>
      <c r="F77" s="10">
        <v>75</v>
      </c>
      <c r="G77" s="11">
        <f>IF(F77&gt;$B$14, 0, IF(LOWER(LEFT($B$2,1))="s", ($B$3-($F77-1)*($B$3/ROUND($B$4*12,0)+$B$10))*($B$5/12),IF(F77=$B$14, ($B$3-((F77-1)*($B$10+$B$6)-SUM(G$3:G76)))*($B$5/12), ABS(IPMT($B$5/12,$F77,NPER($B$5/12,-ABS($B$6)-$B$10,$B$3,0),$B$3)))))</f>
        <v>8625.6932692307691</v>
      </c>
      <c r="H77" s="12">
        <f t="shared" si="3"/>
        <v>9091.1995192307695</v>
      </c>
      <c r="I77" s="11">
        <f t="shared" si="4"/>
        <v>465.50625000000036</v>
      </c>
      <c r="J77" s="12">
        <f>IF(H77=0, 0, ROUND(SUM(H$3:H77)-SUM(G$3:G77),0))</f>
        <v>17456</v>
      </c>
      <c r="K77" s="12" t="str">
        <f t="shared" si="5"/>
        <v/>
      </c>
      <c r="L77" s="11">
        <f>IF($F77&gt;=$B$14, 0, IF(LOWER(LEFT($B$2,1))="s", ($B$3-($F77)*($B$3/ROUND($B$4*12,0)+$B$10)),$B$3-($F77*$B$6-SUM(G$3:G77)+$B$10*$F77)))</f>
        <v>1875673.076923077</v>
      </c>
      <c r="M77" s="11">
        <f>IF(F77&gt;=ROUND($B$4*12,0),0,IF(LOWER(LEFT($B$2,1))="s", ($B$3-($B$3/ROUND($B$4*12,0))*F77),$B$3-(F77*$B$6-SUM(H$3:H77))))</f>
        <v>1978798.076923077</v>
      </c>
    </row>
    <row r="78" spans="1:13" x14ac:dyDescent="0.6">
      <c r="A78" s="4"/>
      <c r="B78" s="4"/>
      <c r="C78" s="4"/>
      <c r="D78" s="4"/>
      <c r="E78" s="23"/>
      <c r="F78" s="14">
        <v>76</v>
      </c>
      <c r="G78" s="15">
        <f>IF(F78&gt;$B$14, 0, IF(LOWER(LEFT($B$2,1))="s", ($B$3-($F78-1)*($B$3/ROUND($B$4*12,0)+$B$10))*($B$5/12),IF(F78=$B$14, ($B$3-((F78-1)*($B$10+$B$6)-SUM(G$3:G77)))*($B$5/12), ABS(IPMT($B$5/12,$F78,NPER($B$5/12,-ABS($B$6)-$B$10,$B$3,0),$B$3)))))</f>
        <v>8581.204326923078</v>
      </c>
      <c r="H78" s="16">
        <f t="shared" si="3"/>
        <v>9053.001201923078</v>
      </c>
      <c r="I78" s="15">
        <f t="shared" si="4"/>
        <v>471.796875</v>
      </c>
      <c r="J78" s="16">
        <f>IF(H78=0, 0, ROUND(SUM(H$3:H78)-SUM(G$3:G78),0))</f>
        <v>17928</v>
      </c>
      <c r="K78" s="16" t="str">
        <f t="shared" si="5"/>
        <v/>
      </c>
      <c r="L78" s="15">
        <f>IF($F78&gt;=$B$14, 0, IF(LOWER(LEFT($B$2,1))="s", ($B$3-($F78)*($B$3/ROUND($B$4*12,0)+$B$10)),$B$3-($F78*$B$6-SUM(G$3:G78)+$B$10*$F78)))</f>
        <v>1865948.717948718</v>
      </c>
      <c r="M78" s="15">
        <f>IF(F78&gt;=ROUND($B$4*12,0),0,IF(LOWER(LEFT($B$2,1))="s", ($B$3-($B$3/ROUND($B$4*12,0))*F78),$B$3-(F78*$B$6-SUM(H$3:H78))))</f>
        <v>1970448.717948718</v>
      </c>
    </row>
    <row r="79" spans="1:13" x14ac:dyDescent="0.6">
      <c r="A79" s="4"/>
      <c r="B79" s="4"/>
      <c r="C79" s="4"/>
      <c r="D79" s="4"/>
      <c r="E79" s="23"/>
      <c r="F79" s="10">
        <v>77</v>
      </c>
      <c r="G79" s="11">
        <f>IF(F79&gt;$B$14, 0, IF(LOWER(LEFT($B$2,1))="s", ($B$3-($F79-1)*($B$3/ROUND($B$4*12,0)+$B$10))*($B$5/12),IF(F79=$B$14, ($B$3-((F79-1)*($B$10+$B$6)-SUM(G$3:G78)))*($B$5/12), ABS(IPMT($B$5/12,$F79,NPER($B$5/12,-ABS($B$6)-$B$10,$B$3,0),$B$3)))))</f>
        <v>8536.7153846153851</v>
      </c>
      <c r="H79" s="12">
        <f t="shared" si="3"/>
        <v>9014.8028846153848</v>
      </c>
      <c r="I79" s="11">
        <f t="shared" si="4"/>
        <v>478.08749999999964</v>
      </c>
      <c r="J79" s="12">
        <f>IF(H79=0, 0, ROUND(SUM(H$3:H79)-SUM(G$3:G79),0))</f>
        <v>18406</v>
      </c>
      <c r="K79" s="12" t="str">
        <f t="shared" si="5"/>
        <v/>
      </c>
      <c r="L79" s="11">
        <f>IF($F79&gt;=$B$14, 0, IF(LOWER(LEFT($B$2,1))="s", ($B$3-($F79)*($B$3/ROUND($B$4*12,0)+$B$10)),$B$3-($F79*$B$6-SUM(G$3:G79)+$B$10*$F79)))</f>
        <v>1856224.358974359</v>
      </c>
      <c r="M79" s="11">
        <f>IF(F79&gt;=ROUND($B$4*12,0),0,IF(LOWER(LEFT($B$2,1))="s", ($B$3-($B$3/ROUND($B$4*12,0))*F79),$B$3-(F79*$B$6-SUM(H$3:H79))))</f>
        <v>1962099.358974359</v>
      </c>
    </row>
    <row r="80" spans="1:13" x14ac:dyDescent="0.6">
      <c r="A80" s="4"/>
      <c r="B80" s="4"/>
      <c r="C80" s="4"/>
      <c r="D80" s="4"/>
      <c r="E80" s="23"/>
      <c r="F80" s="14">
        <v>78</v>
      </c>
      <c r="G80" s="15">
        <f>IF(F80&gt;$B$14, 0, IF(LOWER(LEFT($B$2,1))="s", ($B$3-($F80-1)*($B$3/ROUND($B$4*12,0)+$B$10))*($B$5/12),IF(F80=$B$14, ($B$3-((F80-1)*($B$10+$B$6)-SUM(G$3:G79)))*($B$5/12), ABS(IPMT($B$5/12,$F80,NPER($B$5/12,-ABS($B$6)-$B$10,$B$3,0),$B$3)))))</f>
        <v>8492.2264423076922</v>
      </c>
      <c r="H80" s="16">
        <f t="shared" si="3"/>
        <v>8976.6045673076933</v>
      </c>
      <c r="I80" s="15">
        <f t="shared" si="4"/>
        <v>484.37812500000109</v>
      </c>
      <c r="J80" s="16">
        <f>IF(H80=0, 0, ROUND(SUM(H$3:H80)-SUM(G$3:G80),0))</f>
        <v>18891</v>
      </c>
      <c r="K80" s="16" t="str">
        <f t="shared" si="5"/>
        <v/>
      </c>
      <c r="L80" s="15">
        <f>IF($F80&gt;=$B$14, 0, IF(LOWER(LEFT($B$2,1))="s", ($B$3-($F80)*($B$3/ROUND($B$4*12,0)+$B$10)),$B$3-($F80*$B$6-SUM(G$3:G80)+$B$10*$F80)))</f>
        <v>1846500</v>
      </c>
      <c r="M80" s="15">
        <f>IF(F80&gt;=ROUND($B$4*12,0),0,IF(LOWER(LEFT($B$2,1))="s", ($B$3-($B$3/ROUND($B$4*12,0))*F80),$B$3-(F80*$B$6-SUM(H$3:H80))))</f>
        <v>1953750</v>
      </c>
    </row>
    <row r="81" spans="1:13" x14ac:dyDescent="0.6">
      <c r="A81" s="4"/>
      <c r="B81" s="4"/>
      <c r="C81" s="4"/>
      <c r="D81" s="4"/>
      <c r="E81" s="23"/>
      <c r="F81" s="10">
        <v>79</v>
      </c>
      <c r="G81" s="11">
        <f>IF(F81&gt;$B$14, 0, IF(LOWER(LEFT($B$2,1))="s", ($B$3-($F81-1)*($B$3/ROUND($B$4*12,0)+$B$10))*($B$5/12),IF(F81=$B$14, ($B$3-((F81-1)*($B$10+$B$6)-SUM(G$3:G80)))*($B$5/12), ABS(IPMT($B$5/12,$F81,NPER($B$5/12,-ABS($B$6)-$B$10,$B$3,0),$B$3)))))</f>
        <v>8447.7374999999993</v>
      </c>
      <c r="H81" s="12">
        <f t="shared" si="3"/>
        <v>8938.40625</v>
      </c>
      <c r="I81" s="11">
        <f t="shared" si="4"/>
        <v>490.66875000000073</v>
      </c>
      <c r="J81" s="12">
        <f>IF(H81=0, 0, ROUND(SUM(H$3:H81)-SUM(G$3:G81),0))</f>
        <v>19381</v>
      </c>
      <c r="K81" s="12" t="str">
        <f t="shared" si="5"/>
        <v/>
      </c>
      <c r="L81" s="11">
        <f>IF($F81&gt;=$B$14, 0, IF(LOWER(LEFT($B$2,1))="s", ($B$3-($F81)*($B$3/ROUND($B$4*12,0)+$B$10)),$B$3-($F81*$B$6-SUM(G$3:G81)+$B$10*$F81)))</f>
        <v>1836775.641025641</v>
      </c>
      <c r="M81" s="11">
        <f>IF(F81&gt;=ROUND($B$4*12,0),0,IF(LOWER(LEFT($B$2,1))="s", ($B$3-($B$3/ROUND($B$4*12,0))*F81),$B$3-(F81*$B$6-SUM(H$3:H81))))</f>
        <v>1945400.641025641</v>
      </c>
    </row>
    <row r="82" spans="1:13" x14ac:dyDescent="0.6">
      <c r="A82" s="4"/>
      <c r="B82" s="4"/>
      <c r="C82" s="4"/>
      <c r="D82" s="4"/>
      <c r="E82" s="23"/>
      <c r="F82" s="14">
        <v>80</v>
      </c>
      <c r="G82" s="15">
        <f>IF(F82&gt;$B$14, 0, IF(LOWER(LEFT($B$2,1))="s", ($B$3-($F82-1)*($B$3/ROUND($B$4*12,0)+$B$10))*($B$5/12),IF(F82=$B$14, ($B$3-((F82-1)*($B$10+$B$6)-SUM(G$3:G81)))*($B$5/12), ABS(IPMT($B$5/12,$F82,NPER($B$5/12,-ABS($B$6)-$B$10,$B$3,0),$B$3)))))</f>
        <v>8403.2485576923082</v>
      </c>
      <c r="H82" s="16">
        <f t="shared" si="3"/>
        <v>8900.2079326923085</v>
      </c>
      <c r="I82" s="15">
        <f t="shared" si="4"/>
        <v>496.95937500000036</v>
      </c>
      <c r="J82" s="16">
        <f>IF(H82=0, 0, ROUND(SUM(H$3:H82)-SUM(G$3:G82),0))</f>
        <v>19878</v>
      </c>
      <c r="K82" s="16">
        <f t="shared" si="5"/>
        <v>110000</v>
      </c>
      <c r="L82" s="15">
        <f>IF($F82&gt;=$B$14, 0, IF(LOWER(LEFT($B$2,1))="s", ($B$3-($F82)*($B$3/ROUND($B$4*12,0)+$B$10)),$B$3-($F82*$B$6-SUM(G$3:G82)+$B$10*$F82)))</f>
        <v>1827051.282051282</v>
      </c>
      <c r="M82" s="15">
        <f>IF(F82&gt;=ROUND($B$4*12,0),0,IF(LOWER(LEFT($B$2,1))="s", ($B$3-($B$3/ROUND($B$4*12,0))*F82),$B$3-(F82*$B$6-SUM(H$3:H82))))</f>
        <v>1937051.282051282</v>
      </c>
    </row>
    <row r="83" spans="1:13" x14ac:dyDescent="0.6">
      <c r="A83" s="4"/>
      <c r="B83" s="4"/>
      <c r="C83" s="4"/>
      <c r="D83" s="4"/>
      <c r="E83" s="23"/>
      <c r="F83" s="10">
        <v>81</v>
      </c>
      <c r="G83" s="11">
        <f>IF(F83&gt;$B$14, 0, IF(LOWER(LEFT($B$2,1))="s", ($B$3-($F83-1)*($B$3/ROUND($B$4*12,0)+$B$10))*($B$5/12),IF(F83=$B$14, ($B$3-((F83-1)*($B$10+$B$6)-SUM(G$3:G82)))*($B$5/12), ABS(IPMT($B$5/12,$F83,NPER($B$5/12,-ABS($B$6)-$B$10,$B$3,0),$B$3)))))</f>
        <v>8358.7596153846152</v>
      </c>
      <c r="H83" s="12">
        <f t="shared" si="3"/>
        <v>8862.0096153846152</v>
      </c>
      <c r="I83" s="11">
        <f t="shared" si="4"/>
        <v>503.25</v>
      </c>
      <c r="J83" s="12">
        <f>IF(H83=0, 0, ROUND(SUM(H$3:H83)-SUM(G$3:G83),0))</f>
        <v>20382</v>
      </c>
      <c r="K83" s="12" t="str">
        <f t="shared" si="5"/>
        <v/>
      </c>
      <c r="L83" s="11">
        <f>IF($F83&gt;=$B$14, 0, IF(LOWER(LEFT($B$2,1))="s", ($B$3-($F83)*($B$3/ROUND($B$4*12,0)+$B$10)),$B$3-($F83*$B$6-SUM(G$3:G83)+$B$10*$F83)))</f>
        <v>1817326.923076923</v>
      </c>
      <c r="M83" s="11">
        <f>IF(F83&gt;=ROUND($B$4*12,0),0,IF(LOWER(LEFT($B$2,1))="s", ($B$3-($B$3/ROUND($B$4*12,0))*F83),$B$3-(F83*$B$6-SUM(H$3:H83))))</f>
        <v>1928701.923076923</v>
      </c>
    </row>
    <row r="84" spans="1:13" x14ac:dyDescent="0.6">
      <c r="A84" s="4"/>
      <c r="B84" s="4"/>
      <c r="C84" s="4"/>
      <c r="D84" s="4"/>
      <c r="E84" s="23"/>
      <c r="F84" s="14">
        <v>82</v>
      </c>
      <c r="G84" s="15">
        <f>IF(F84&gt;$B$14, 0, IF(LOWER(LEFT($B$2,1))="s", ($B$3-($F84-1)*($B$3/ROUND($B$4*12,0)+$B$10))*($B$5/12),IF(F84=$B$14, ($B$3-((F84-1)*($B$10+$B$6)-SUM(G$3:G83)))*($B$5/12), ABS(IPMT($B$5/12,$F84,NPER($B$5/12,-ABS($B$6)-$B$10,$B$3,0),$B$3)))))</f>
        <v>8314.2706730769223</v>
      </c>
      <c r="H84" s="16">
        <f t="shared" si="3"/>
        <v>8823.8112980769238</v>
      </c>
      <c r="I84" s="15">
        <f t="shared" si="4"/>
        <v>509.54062500000146</v>
      </c>
      <c r="J84" s="16">
        <f>IF(H84=0, 0, ROUND(SUM(H$3:H84)-SUM(G$3:G84),0))</f>
        <v>20891</v>
      </c>
      <c r="K84" s="16" t="str">
        <f t="shared" si="5"/>
        <v/>
      </c>
      <c r="L84" s="15">
        <f>IF($F84&gt;=$B$14, 0, IF(LOWER(LEFT($B$2,1))="s", ($B$3-($F84)*($B$3/ROUND($B$4*12,0)+$B$10)),$B$3-($F84*$B$6-SUM(G$3:G84)+$B$10*$F84)))</f>
        <v>1807602.564102564</v>
      </c>
      <c r="M84" s="15">
        <f>IF(F84&gt;=ROUND($B$4*12,0),0,IF(LOWER(LEFT($B$2,1))="s", ($B$3-($B$3/ROUND($B$4*12,0))*F84),$B$3-(F84*$B$6-SUM(H$3:H84))))</f>
        <v>1920352.564102564</v>
      </c>
    </row>
    <row r="85" spans="1:13" x14ac:dyDescent="0.6">
      <c r="A85" s="4"/>
      <c r="B85" s="4"/>
      <c r="C85" s="4"/>
      <c r="D85" s="4"/>
      <c r="E85" s="23"/>
      <c r="F85" s="10">
        <v>83</v>
      </c>
      <c r="G85" s="11">
        <f>IF(F85&gt;$B$14, 0, IF(LOWER(LEFT($B$2,1))="s", ($B$3-($F85-1)*($B$3/ROUND($B$4*12,0)+$B$10))*($B$5/12),IF(F85=$B$14, ($B$3-((F85-1)*($B$10+$B$6)-SUM(G$3:G84)))*($B$5/12), ABS(IPMT($B$5/12,$F85,NPER($B$5/12,-ABS($B$6)-$B$10,$B$3,0),$B$3)))))</f>
        <v>8269.7817307692312</v>
      </c>
      <c r="H85" s="12">
        <f t="shared" si="3"/>
        <v>8785.6129807692305</v>
      </c>
      <c r="I85" s="11">
        <f t="shared" si="4"/>
        <v>515.83124999999927</v>
      </c>
      <c r="J85" s="12">
        <f>IF(H85=0, 0, ROUND(SUM(H$3:H85)-SUM(G$3:G85),0))</f>
        <v>21407</v>
      </c>
      <c r="K85" s="12" t="str">
        <f t="shared" si="5"/>
        <v/>
      </c>
      <c r="L85" s="11">
        <f>IF($F85&gt;=$B$14, 0, IF(LOWER(LEFT($B$2,1))="s", ($B$3-($F85)*($B$3/ROUND($B$4*12,0)+$B$10)),$B$3-($F85*$B$6-SUM(G$3:G85)+$B$10*$F85)))</f>
        <v>1797878.205128205</v>
      </c>
      <c r="M85" s="11">
        <f>IF(F85&gt;=ROUND($B$4*12,0),0,IF(LOWER(LEFT($B$2,1))="s", ($B$3-($B$3/ROUND($B$4*12,0))*F85),$B$3-(F85*$B$6-SUM(H$3:H85))))</f>
        <v>1912003.205128205</v>
      </c>
    </row>
    <row r="86" spans="1:13" x14ac:dyDescent="0.6">
      <c r="A86" s="4"/>
      <c r="B86" s="4"/>
      <c r="C86" s="4"/>
      <c r="D86" s="4"/>
      <c r="E86" s="23" t="s">
        <v>30</v>
      </c>
      <c r="F86" s="14">
        <v>84</v>
      </c>
      <c r="G86" s="15">
        <f>IF(F86&gt;$B$14, 0, IF(LOWER(LEFT($B$2,1))="s", ($B$3-($F86-1)*($B$3/ROUND($B$4*12,0)+$B$10))*($B$5/12),IF(F86=$B$14, ($B$3-((F86-1)*($B$10+$B$6)-SUM(G$3:G85)))*($B$5/12), ABS(IPMT($B$5/12,$F86,NPER($B$5/12,-ABS($B$6)-$B$10,$B$3,0),$B$3)))))</f>
        <v>8225.2927884615383</v>
      </c>
      <c r="H86" s="16">
        <f t="shared" si="3"/>
        <v>8747.4146634615372</v>
      </c>
      <c r="I86" s="15">
        <f t="shared" si="4"/>
        <v>522.12187499999891</v>
      </c>
      <c r="J86" s="16">
        <f>IF(H86=0, 0, ROUND(SUM(H$3:H86)-SUM(G$3:G86),0))</f>
        <v>21929</v>
      </c>
      <c r="K86" s="16" t="str">
        <f t="shared" si="5"/>
        <v/>
      </c>
      <c r="L86" s="15">
        <f>IF($F86&gt;=$B$14, 0, IF(LOWER(LEFT($B$2,1))="s", ($B$3-($F86)*($B$3/ROUND($B$4*12,0)+$B$10)),$B$3-($F86*$B$6-SUM(G$3:G86)+$B$10*$F86)))</f>
        <v>1788153.846153846</v>
      </c>
      <c r="M86" s="15">
        <f>IF(F86&gt;=ROUND($B$4*12,0),0,IF(LOWER(LEFT($B$2,1))="s", ($B$3-($B$3/ROUND($B$4*12,0))*F86),$B$3-(F86*$B$6-SUM(H$3:H86))))</f>
        <v>1903653.846153846</v>
      </c>
    </row>
    <row r="87" spans="1:13" x14ac:dyDescent="0.6">
      <c r="A87" s="4"/>
      <c r="B87" s="4"/>
      <c r="C87" s="4"/>
      <c r="D87" s="4"/>
      <c r="E87" s="23"/>
      <c r="F87" s="10">
        <v>85</v>
      </c>
      <c r="G87" s="11">
        <f>IF(F87&gt;$B$14, 0, IF(LOWER(LEFT($B$2,1))="s", ($B$3-($F87-1)*($B$3/ROUND($B$4*12,0)+$B$10))*($B$5/12),IF(F87=$B$14, ($B$3-((F87-1)*($B$10+$B$6)-SUM(G$3:G86)))*($B$5/12), ABS(IPMT($B$5/12,$F87,NPER($B$5/12,-ABS($B$6)-$B$10,$B$3,0),$B$3)))))</f>
        <v>8180.8038461538454</v>
      </c>
      <c r="H87" s="12">
        <f t="shared" si="3"/>
        <v>8709.2163461538457</v>
      </c>
      <c r="I87" s="11">
        <f t="shared" si="4"/>
        <v>528.41250000000036</v>
      </c>
      <c r="J87" s="12">
        <f>IF(H87=0, 0, ROUND(SUM(H$3:H87)-SUM(G$3:G87),0))</f>
        <v>22458</v>
      </c>
      <c r="K87" s="12" t="str">
        <f t="shared" si="5"/>
        <v/>
      </c>
      <c r="L87" s="11">
        <f>IF($F87&gt;=$B$14, 0, IF(LOWER(LEFT($B$2,1))="s", ($B$3-($F87)*($B$3/ROUND($B$4*12,0)+$B$10)),$B$3-($F87*$B$6-SUM(G$3:G87)+$B$10*$F87)))</f>
        <v>1778429.487179487</v>
      </c>
      <c r="M87" s="11">
        <f>IF(F87&gt;=ROUND($B$4*12,0),0,IF(LOWER(LEFT($B$2,1))="s", ($B$3-($B$3/ROUND($B$4*12,0))*F87),$B$3-(F87*$B$6-SUM(H$3:H87))))</f>
        <v>1895304.487179487</v>
      </c>
    </row>
    <row r="88" spans="1:13" x14ac:dyDescent="0.6">
      <c r="A88" s="4"/>
      <c r="B88" s="4"/>
      <c r="C88" s="4"/>
      <c r="D88" s="4"/>
      <c r="E88" s="23"/>
      <c r="F88" s="14">
        <v>86</v>
      </c>
      <c r="G88" s="15">
        <f>IF(F88&gt;$B$14, 0, IF(LOWER(LEFT($B$2,1))="s", ($B$3-($F88-1)*($B$3/ROUND($B$4*12,0)+$B$10))*($B$5/12),IF(F88=$B$14, ($B$3-((F88-1)*($B$10+$B$6)-SUM(G$3:G87)))*($B$5/12), ABS(IPMT($B$5/12,$F88,NPER($B$5/12,-ABS($B$6)-$B$10,$B$3,0),$B$3)))))</f>
        <v>8136.3149038461534</v>
      </c>
      <c r="H88" s="16">
        <f t="shared" si="3"/>
        <v>8671.0180288461524</v>
      </c>
      <c r="I88" s="15">
        <f t="shared" si="4"/>
        <v>534.70312499999909</v>
      </c>
      <c r="J88" s="16">
        <f>IF(H88=0, 0, ROUND(SUM(H$3:H88)-SUM(G$3:G88),0))</f>
        <v>22992</v>
      </c>
      <c r="K88" s="16" t="str">
        <f t="shared" si="5"/>
        <v/>
      </c>
      <c r="L88" s="15">
        <f>IF($F88&gt;=$B$14, 0, IF(LOWER(LEFT($B$2,1))="s", ($B$3-($F88)*($B$3/ROUND($B$4*12,0)+$B$10)),$B$3-($F88*$B$6-SUM(G$3:G88)+$B$10*$F88)))</f>
        <v>1768705.128205128</v>
      </c>
      <c r="M88" s="15">
        <f>IF(F88&gt;=ROUND($B$4*12,0),0,IF(LOWER(LEFT($B$2,1))="s", ($B$3-($B$3/ROUND($B$4*12,0))*F88),$B$3-(F88*$B$6-SUM(H$3:H88))))</f>
        <v>1886955.128205128</v>
      </c>
    </row>
    <row r="89" spans="1:13" x14ac:dyDescent="0.6">
      <c r="A89" s="4"/>
      <c r="B89" s="4"/>
      <c r="C89" s="4"/>
      <c r="D89" s="4"/>
      <c r="E89" s="23"/>
      <c r="F89" s="10">
        <v>87</v>
      </c>
      <c r="G89" s="11">
        <f>IF(F89&gt;$B$14, 0, IF(LOWER(LEFT($B$2,1))="s", ($B$3-($F89-1)*($B$3/ROUND($B$4*12,0)+$B$10))*($B$5/12),IF(F89=$B$14, ($B$3-((F89-1)*($B$10+$B$6)-SUM(G$3:G88)))*($B$5/12), ABS(IPMT($B$5/12,$F89,NPER($B$5/12,-ABS($B$6)-$B$10,$B$3,0),$B$3)))))</f>
        <v>8091.8259615384604</v>
      </c>
      <c r="H89" s="12">
        <f t="shared" si="3"/>
        <v>8632.819711538461</v>
      </c>
      <c r="I89" s="11">
        <f t="shared" si="4"/>
        <v>540.99375000000055</v>
      </c>
      <c r="J89" s="12">
        <f>IF(H89=0, 0, ROUND(SUM(H$3:H89)-SUM(G$3:G89),0))</f>
        <v>23533</v>
      </c>
      <c r="K89" s="12" t="str">
        <f t="shared" si="5"/>
        <v/>
      </c>
      <c r="L89" s="11">
        <f>IF($F89&gt;=$B$14, 0, IF(LOWER(LEFT($B$2,1))="s", ($B$3-($F89)*($B$3/ROUND($B$4*12,0)+$B$10)),$B$3-($F89*$B$6-SUM(G$3:G89)+$B$10*$F89)))</f>
        <v>1758980.7692307692</v>
      </c>
      <c r="M89" s="11">
        <f>IF(F89&gt;=ROUND($B$4*12,0),0,IF(LOWER(LEFT($B$2,1))="s", ($B$3-($B$3/ROUND($B$4*12,0))*F89),$B$3-(F89*$B$6-SUM(H$3:H89))))</f>
        <v>1878605.7692307692</v>
      </c>
    </row>
    <row r="90" spans="1:13" x14ac:dyDescent="0.6">
      <c r="A90" s="4"/>
      <c r="B90" s="4"/>
      <c r="C90" s="4"/>
      <c r="D90" s="4"/>
      <c r="E90" s="23"/>
      <c r="F90" s="14">
        <v>88</v>
      </c>
      <c r="G90" s="15">
        <f>IF(F90&gt;$B$14, 0, IF(LOWER(LEFT($B$2,1))="s", ($B$3-($F90-1)*($B$3/ROUND($B$4*12,0)+$B$10))*($B$5/12),IF(F90=$B$14, ($B$3-((F90-1)*($B$10+$B$6)-SUM(G$3:G89)))*($B$5/12), ABS(IPMT($B$5/12,$F90,NPER($B$5/12,-ABS($B$6)-$B$10,$B$3,0),$B$3)))))</f>
        <v>8047.3370192307693</v>
      </c>
      <c r="H90" s="16">
        <f t="shared" si="3"/>
        <v>8594.6213942307695</v>
      </c>
      <c r="I90" s="15">
        <f t="shared" si="4"/>
        <v>547.28437500000018</v>
      </c>
      <c r="J90" s="16">
        <f>IF(H90=0, 0, ROUND(SUM(H$3:H90)-SUM(G$3:G90),0))</f>
        <v>24081</v>
      </c>
      <c r="K90" s="16">
        <f t="shared" si="5"/>
        <v>120000</v>
      </c>
      <c r="L90" s="15">
        <f>IF($F90&gt;=$B$14, 0, IF(LOWER(LEFT($B$2,1))="s", ($B$3-($F90)*($B$3/ROUND($B$4*12,0)+$B$10)),$B$3-($F90*$B$6-SUM(G$3:G90)+$B$10*$F90)))</f>
        <v>1749256.4102564103</v>
      </c>
      <c r="M90" s="15">
        <f>IF(F90&gt;=ROUND($B$4*12,0),0,IF(LOWER(LEFT($B$2,1))="s", ($B$3-($B$3/ROUND($B$4*12,0))*F90),$B$3-(F90*$B$6-SUM(H$3:H90))))</f>
        <v>1870256.4102564103</v>
      </c>
    </row>
    <row r="91" spans="1:13" x14ac:dyDescent="0.6">
      <c r="A91" s="4"/>
      <c r="B91" s="4"/>
      <c r="C91" s="4"/>
      <c r="D91" s="4"/>
      <c r="E91" s="23"/>
      <c r="F91" s="10">
        <v>89</v>
      </c>
      <c r="G91" s="11">
        <f>IF(F91&gt;$B$14, 0, IF(LOWER(LEFT($B$2,1))="s", ($B$3-($F91-1)*($B$3/ROUND($B$4*12,0)+$B$10))*($B$5/12),IF(F91=$B$14, ($B$3-((F91-1)*($B$10+$B$6)-SUM(G$3:G90)))*($B$5/12), ABS(IPMT($B$5/12,$F91,NPER($B$5/12,-ABS($B$6)-$B$10,$B$3,0),$B$3)))))</f>
        <v>8002.8480769230773</v>
      </c>
      <c r="H91" s="12">
        <f t="shared" si="3"/>
        <v>8556.4230769230762</v>
      </c>
      <c r="I91" s="11">
        <f t="shared" si="4"/>
        <v>553.57499999999891</v>
      </c>
      <c r="J91" s="12">
        <f>IF(H91=0, 0, ROUND(SUM(H$3:H91)-SUM(G$3:G91),0))</f>
        <v>24634</v>
      </c>
      <c r="K91" s="12" t="str">
        <f t="shared" si="5"/>
        <v/>
      </c>
      <c r="L91" s="11">
        <f>IF($F91&gt;=$B$14, 0, IF(LOWER(LEFT($B$2,1))="s", ($B$3-($F91)*($B$3/ROUND($B$4*12,0)+$B$10)),$B$3-($F91*$B$6-SUM(G$3:G91)+$B$10*$F91)))</f>
        <v>1739532.0512820513</v>
      </c>
      <c r="M91" s="11">
        <f>IF(F91&gt;=ROUND($B$4*12,0),0,IF(LOWER(LEFT($B$2,1))="s", ($B$3-($B$3/ROUND($B$4*12,0))*F91),$B$3-(F91*$B$6-SUM(H$3:H91))))</f>
        <v>1861907.0512820513</v>
      </c>
    </row>
    <row r="92" spans="1:13" x14ac:dyDescent="0.6">
      <c r="A92" s="4"/>
      <c r="B92" s="4"/>
      <c r="C92" s="4"/>
      <c r="D92" s="4"/>
      <c r="E92" s="23"/>
      <c r="F92" s="14">
        <v>90</v>
      </c>
      <c r="G92" s="15">
        <f>IF(F92&gt;$B$14, 0, IF(LOWER(LEFT($B$2,1))="s", ($B$3-($F92-1)*($B$3/ROUND($B$4*12,0)+$B$10))*($B$5/12),IF(F92=$B$14, ($B$3-((F92-1)*($B$10+$B$6)-SUM(G$3:G91)))*($B$5/12), ABS(IPMT($B$5/12,$F92,NPER($B$5/12,-ABS($B$6)-$B$10,$B$3,0),$B$3)))))</f>
        <v>7958.3591346153844</v>
      </c>
      <c r="H92" s="16">
        <f t="shared" si="3"/>
        <v>8518.2247596153848</v>
      </c>
      <c r="I92" s="15">
        <f t="shared" si="4"/>
        <v>559.86562500000036</v>
      </c>
      <c r="J92" s="16">
        <f>IF(H92=0, 0, ROUND(SUM(H$3:H92)-SUM(G$3:G92),0))</f>
        <v>25194</v>
      </c>
      <c r="K92" s="16" t="str">
        <f t="shared" si="5"/>
        <v/>
      </c>
      <c r="L92" s="15">
        <f>IF($F92&gt;=$B$14, 0, IF(LOWER(LEFT($B$2,1))="s", ($B$3-($F92)*($B$3/ROUND($B$4*12,0)+$B$10)),$B$3-($F92*$B$6-SUM(G$3:G92)+$B$10*$F92)))</f>
        <v>1729807.6923076923</v>
      </c>
      <c r="M92" s="15">
        <f>IF(F92&gt;=ROUND($B$4*12,0),0,IF(LOWER(LEFT($B$2,1))="s", ($B$3-($B$3/ROUND($B$4*12,0))*F92),$B$3-(F92*$B$6-SUM(H$3:H92))))</f>
        <v>1853557.6923076923</v>
      </c>
    </row>
    <row r="93" spans="1:13" x14ac:dyDescent="0.6">
      <c r="A93" s="4"/>
      <c r="B93" s="4"/>
      <c r="C93" s="4"/>
      <c r="D93" s="4"/>
      <c r="E93" s="23"/>
      <c r="F93" s="10">
        <v>91</v>
      </c>
      <c r="G93" s="11">
        <f>IF(F93&gt;$B$14, 0, IF(LOWER(LEFT($B$2,1))="s", ($B$3-($F93-1)*($B$3/ROUND($B$4*12,0)+$B$10))*($B$5/12),IF(F93=$B$14, ($B$3-((F93-1)*($B$10+$B$6)-SUM(G$3:G92)))*($B$5/12), ABS(IPMT($B$5/12,$F93,NPER($B$5/12,-ABS($B$6)-$B$10,$B$3,0),$B$3)))))</f>
        <v>7913.8701923076924</v>
      </c>
      <c r="H93" s="12">
        <f t="shared" si="3"/>
        <v>8480.0264423076915</v>
      </c>
      <c r="I93" s="11">
        <f t="shared" si="4"/>
        <v>566.15624999999909</v>
      </c>
      <c r="J93" s="12">
        <f>IF(H93=0, 0, ROUND(SUM(H$3:H93)-SUM(G$3:G93),0))</f>
        <v>25760</v>
      </c>
      <c r="K93" s="12" t="str">
        <f t="shared" si="5"/>
        <v/>
      </c>
      <c r="L93" s="11">
        <f>IF($F93&gt;=$B$14, 0, IF(LOWER(LEFT($B$2,1))="s", ($B$3-($F93)*($B$3/ROUND($B$4*12,0)+$B$10)),$B$3-($F93*$B$6-SUM(G$3:G93)+$B$10*$F93)))</f>
        <v>1720083.3333333333</v>
      </c>
      <c r="M93" s="11">
        <f>IF(F93&gt;=ROUND($B$4*12,0),0,IF(LOWER(LEFT($B$2,1))="s", ($B$3-($B$3/ROUND($B$4*12,0))*F93),$B$3-(F93*$B$6-SUM(H$3:H93))))</f>
        <v>1845208.3333333333</v>
      </c>
    </row>
    <row r="94" spans="1:13" x14ac:dyDescent="0.6">
      <c r="A94" s="4"/>
      <c r="B94" s="4"/>
      <c r="C94" s="4"/>
      <c r="D94" s="4"/>
      <c r="E94" s="23"/>
      <c r="F94" s="14">
        <v>92</v>
      </c>
      <c r="G94" s="15">
        <f>IF(F94&gt;$B$14, 0, IF(LOWER(LEFT($B$2,1))="s", ($B$3-($F94-1)*($B$3/ROUND($B$4*12,0)+$B$10))*($B$5/12),IF(F94=$B$14, ($B$3-((F94-1)*($B$10+$B$6)-SUM(G$3:G93)))*($B$5/12), ABS(IPMT($B$5/12,$F94,NPER($B$5/12,-ABS($B$6)-$B$10,$B$3,0),$B$3)))))</f>
        <v>7869.3812499999995</v>
      </c>
      <c r="H94" s="16">
        <f t="shared" si="3"/>
        <v>8441.828125</v>
      </c>
      <c r="I94" s="15">
        <f t="shared" si="4"/>
        <v>572.44687500000055</v>
      </c>
      <c r="J94" s="16">
        <f>IF(H94=0, 0, ROUND(SUM(H$3:H94)-SUM(G$3:G94),0))</f>
        <v>26333</v>
      </c>
      <c r="K94" s="16" t="str">
        <f t="shared" si="5"/>
        <v/>
      </c>
      <c r="L94" s="15">
        <f>IF($F94&gt;=$B$14, 0, IF(LOWER(LEFT($B$2,1))="s", ($B$3-($F94)*($B$3/ROUND($B$4*12,0)+$B$10)),$B$3-($F94*$B$6-SUM(G$3:G94)+$B$10*$F94)))</f>
        <v>1710358.9743589745</v>
      </c>
      <c r="M94" s="15">
        <f>IF(F94&gt;=ROUND($B$4*12,0),0,IF(LOWER(LEFT($B$2,1))="s", ($B$3-($B$3/ROUND($B$4*12,0))*F94),$B$3-(F94*$B$6-SUM(H$3:H94))))</f>
        <v>1836858.9743589745</v>
      </c>
    </row>
    <row r="95" spans="1:13" x14ac:dyDescent="0.6">
      <c r="A95" s="4"/>
      <c r="B95" s="4"/>
      <c r="C95" s="4"/>
      <c r="D95" s="4"/>
      <c r="E95" s="23"/>
      <c r="F95" s="10">
        <v>93</v>
      </c>
      <c r="G95" s="11">
        <f>IF(F95&gt;$B$14, 0, IF(LOWER(LEFT($B$2,1))="s", ($B$3-($F95-1)*($B$3/ROUND($B$4*12,0)+$B$10))*($B$5/12),IF(F95=$B$14, ($B$3-((F95-1)*($B$10+$B$6)-SUM(G$3:G94)))*($B$5/12), ABS(IPMT($B$5/12,$F95,NPER($B$5/12,-ABS($B$6)-$B$10,$B$3,0),$B$3)))))</f>
        <v>7824.8923076923083</v>
      </c>
      <c r="H95" s="12">
        <f t="shared" si="3"/>
        <v>8403.6298076923085</v>
      </c>
      <c r="I95" s="11">
        <f t="shared" si="4"/>
        <v>578.73750000000018</v>
      </c>
      <c r="J95" s="12">
        <f>IF(H95=0, 0, ROUND(SUM(H$3:H95)-SUM(G$3:G95),0))</f>
        <v>26911</v>
      </c>
      <c r="K95" s="12" t="str">
        <f t="shared" si="5"/>
        <v/>
      </c>
      <c r="L95" s="11">
        <f>IF($F95&gt;=$B$14, 0, IF(LOWER(LEFT($B$2,1))="s", ($B$3-($F95)*($B$3/ROUND($B$4*12,0)+$B$10)),$B$3-($F95*$B$6-SUM(G$3:G95)+$B$10*$F95)))</f>
        <v>1700634.6153846155</v>
      </c>
      <c r="M95" s="11">
        <f>IF(F95&gt;=ROUND($B$4*12,0),0,IF(LOWER(LEFT($B$2,1))="s", ($B$3-($B$3/ROUND($B$4*12,0))*F95),$B$3-(F95*$B$6-SUM(H$3:H95))))</f>
        <v>1828509.6153846155</v>
      </c>
    </row>
    <row r="96" spans="1:13" x14ac:dyDescent="0.6">
      <c r="A96" s="4"/>
      <c r="B96" s="4"/>
      <c r="C96" s="4"/>
      <c r="D96" s="4"/>
      <c r="E96" s="23"/>
      <c r="F96" s="14">
        <v>94</v>
      </c>
      <c r="G96" s="15">
        <f>IF(F96&gt;$B$14, 0, IF(LOWER(LEFT($B$2,1))="s", ($B$3-($F96-1)*($B$3/ROUND($B$4*12,0)+$B$10))*($B$5/12),IF(F96=$B$14, ($B$3-((F96-1)*($B$10+$B$6)-SUM(G$3:G95)))*($B$5/12), ABS(IPMT($B$5/12,$F96,NPER($B$5/12,-ABS($B$6)-$B$10,$B$3,0),$B$3)))))</f>
        <v>7780.4033653846163</v>
      </c>
      <c r="H96" s="16">
        <f t="shared" si="3"/>
        <v>8365.4314903846152</v>
      </c>
      <c r="I96" s="15">
        <f t="shared" si="4"/>
        <v>585.02812499999891</v>
      </c>
      <c r="J96" s="16">
        <f>IF(H96=0, 0, ROUND(SUM(H$3:H96)-SUM(G$3:G96),0))</f>
        <v>27496</v>
      </c>
      <c r="K96" s="16" t="str">
        <f t="shared" si="5"/>
        <v/>
      </c>
      <c r="L96" s="15">
        <f>IF($F96&gt;=$B$14, 0, IF(LOWER(LEFT($B$2,1))="s", ($B$3-($F96)*($B$3/ROUND($B$4*12,0)+$B$10)),$B$3-($F96*$B$6-SUM(G$3:G96)+$B$10*$F96)))</f>
        <v>1690910.2564102565</v>
      </c>
      <c r="M96" s="15">
        <f>IF(F96&gt;=ROUND($B$4*12,0),0,IF(LOWER(LEFT($B$2,1))="s", ($B$3-($B$3/ROUND($B$4*12,0))*F96),$B$3-(F96*$B$6-SUM(H$3:H96))))</f>
        <v>1820160.2564102565</v>
      </c>
    </row>
    <row r="97" spans="1:13" x14ac:dyDescent="0.6">
      <c r="A97" s="4"/>
      <c r="B97" s="4"/>
      <c r="C97" s="4"/>
      <c r="D97" s="4"/>
      <c r="E97" s="23"/>
      <c r="F97" s="10">
        <v>95</v>
      </c>
      <c r="G97" s="11">
        <f>IF(F97&gt;$B$14, 0, IF(LOWER(LEFT($B$2,1))="s", ($B$3-($F97-1)*($B$3/ROUND($B$4*12,0)+$B$10))*($B$5/12),IF(F97=$B$14, ($B$3-((F97-1)*($B$10+$B$6)-SUM(G$3:G96)))*($B$5/12), ABS(IPMT($B$5/12,$F97,NPER($B$5/12,-ABS($B$6)-$B$10,$B$3,0),$B$3)))))</f>
        <v>7735.9144230769234</v>
      </c>
      <c r="H97" s="12">
        <f t="shared" si="3"/>
        <v>8327.2331730769238</v>
      </c>
      <c r="I97" s="11">
        <f t="shared" si="4"/>
        <v>591.31875000000036</v>
      </c>
      <c r="J97" s="12">
        <f>IF(H97=0, 0, ROUND(SUM(H$3:H97)-SUM(G$3:G97),0))</f>
        <v>28088</v>
      </c>
      <c r="K97" s="12">
        <f t="shared" si="5"/>
        <v>130000</v>
      </c>
      <c r="L97" s="11">
        <f>IF($F97&gt;=$B$14, 0, IF(LOWER(LEFT($B$2,1))="s", ($B$3-($F97)*($B$3/ROUND($B$4*12,0)+$B$10)),$B$3-($F97*$B$6-SUM(G$3:G97)+$B$10*$F97)))</f>
        <v>1681185.8974358975</v>
      </c>
      <c r="M97" s="11">
        <f>IF(F97&gt;=ROUND($B$4*12,0),0,IF(LOWER(LEFT($B$2,1))="s", ($B$3-($B$3/ROUND($B$4*12,0))*F97),$B$3-(F97*$B$6-SUM(H$3:H97))))</f>
        <v>1811810.8974358975</v>
      </c>
    </row>
    <row r="98" spans="1:13" x14ac:dyDescent="0.6">
      <c r="A98" s="4"/>
      <c r="B98" s="4"/>
      <c r="C98" s="4"/>
      <c r="D98" s="4"/>
      <c r="E98" s="23" t="s">
        <v>31</v>
      </c>
      <c r="F98" s="14">
        <v>96</v>
      </c>
      <c r="G98" s="15">
        <f>IF(F98&gt;$B$14, 0, IF(LOWER(LEFT($B$2,1))="s", ($B$3-($F98-1)*($B$3/ROUND($B$4*12,0)+$B$10))*($B$5/12),IF(F98=$B$14, ($B$3-((F98-1)*($B$10+$B$6)-SUM(G$3:G97)))*($B$5/12), ABS(IPMT($B$5/12,$F98,NPER($B$5/12,-ABS($B$6)-$B$10,$B$3,0),$B$3)))))</f>
        <v>7691.4254807692314</v>
      </c>
      <c r="H98" s="16">
        <f t="shared" si="3"/>
        <v>8289.0348557692305</v>
      </c>
      <c r="I98" s="15">
        <f t="shared" si="4"/>
        <v>597.60937499999909</v>
      </c>
      <c r="J98" s="16">
        <f>IF(H98=0, 0, ROUND(SUM(H$3:H98)-SUM(G$3:G98),0))</f>
        <v>28685</v>
      </c>
      <c r="K98" s="16" t="str">
        <f t="shared" si="5"/>
        <v/>
      </c>
      <c r="L98" s="15">
        <f>IF($F98&gt;=$B$14, 0, IF(LOWER(LEFT($B$2,1))="s", ($B$3-($F98)*($B$3/ROUND($B$4*12,0)+$B$10)),$B$3-($F98*$B$6-SUM(G$3:G98)+$B$10*$F98)))</f>
        <v>1671461.5384615385</v>
      </c>
      <c r="M98" s="15">
        <f>IF(F98&gt;=ROUND($B$4*12,0),0,IF(LOWER(LEFT($B$2,1))="s", ($B$3-($B$3/ROUND($B$4*12,0))*F98),$B$3-(F98*$B$6-SUM(H$3:H98))))</f>
        <v>1803461.5384615385</v>
      </c>
    </row>
    <row r="99" spans="1:13" x14ac:dyDescent="0.6">
      <c r="A99" s="4"/>
      <c r="B99" s="4"/>
      <c r="C99" s="4"/>
      <c r="D99" s="4"/>
      <c r="E99" s="23"/>
      <c r="F99" s="10">
        <v>97</v>
      </c>
      <c r="G99" s="11">
        <f>IF(F99&gt;$B$14, 0, IF(LOWER(LEFT($B$2,1))="s", ($B$3-($F99-1)*($B$3/ROUND($B$4*12,0)+$B$10))*($B$5/12),IF(F99=$B$14, ($B$3-((F99-1)*($B$10+$B$6)-SUM(G$3:G98)))*($B$5/12), ABS(IPMT($B$5/12,$F99,NPER($B$5/12,-ABS($B$6)-$B$10,$B$3,0),$B$3)))))</f>
        <v>7646.9365384615385</v>
      </c>
      <c r="H99" s="12">
        <f t="shared" si="3"/>
        <v>8250.836538461539</v>
      </c>
      <c r="I99" s="11">
        <f t="shared" si="4"/>
        <v>603.90000000000055</v>
      </c>
      <c r="J99" s="12">
        <f>IF(H99=0, 0, ROUND(SUM(H$3:H99)-SUM(G$3:G99),0))</f>
        <v>29289</v>
      </c>
      <c r="K99" s="12" t="str">
        <f t="shared" si="5"/>
        <v/>
      </c>
      <c r="L99" s="11">
        <f>IF($F99&gt;=$B$14, 0, IF(LOWER(LEFT($B$2,1))="s", ($B$3-($F99)*($B$3/ROUND($B$4*12,0)+$B$10)),$B$3-($F99*$B$6-SUM(G$3:G99)+$B$10*$F99)))</f>
        <v>1661737.1794871795</v>
      </c>
      <c r="M99" s="11">
        <f>IF(F99&gt;=ROUND($B$4*12,0),0,IF(LOWER(LEFT($B$2,1))="s", ($B$3-($B$3/ROUND($B$4*12,0))*F99),$B$3-(F99*$B$6-SUM(H$3:H99))))</f>
        <v>1795112.1794871795</v>
      </c>
    </row>
    <row r="100" spans="1:13" x14ac:dyDescent="0.6">
      <c r="A100" s="4"/>
      <c r="B100" s="4"/>
      <c r="C100" s="4"/>
      <c r="D100" s="4"/>
      <c r="E100" s="23"/>
      <c r="F100" s="14">
        <v>98</v>
      </c>
      <c r="G100" s="15">
        <f>IF(F100&gt;$B$14, 0, IF(LOWER(LEFT($B$2,1))="s", ($B$3-($F100-1)*($B$3/ROUND($B$4*12,0)+$B$10))*($B$5/12),IF(F100=$B$14, ($B$3-((F100-1)*($B$10+$B$6)-SUM(G$3:G99)))*($B$5/12), ABS(IPMT($B$5/12,$F100,NPER($B$5/12,-ABS($B$6)-$B$10,$B$3,0),$B$3)))))</f>
        <v>7602.4475961538465</v>
      </c>
      <c r="H100" s="16">
        <f t="shared" si="3"/>
        <v>8212.6382211538457</v>
      </c>
      <c r="I100" s="15">
        <f t="shared" si="4"/>
        <v>610.19062499999927</v>
      </c>
      <c r="J100" s="16">
        <f>IF(H100=0, 0, ROUND(SUM(H$3:H100)-SUM(G$3:G100),0))</f>
        <v>29899</v>
      </c>
      <c r="K100" s="16" t="str">
        <f t="shared" si="5"/>
        <v/>
      </c>
      <c r="L100" s="15">
        <f>IF($F100&gt;=$B$14, 0, IF(LOWER(LEFT($B$2,1))="s", ($B$3-($F100)*($B$3/ROUND($B$4*12,0)+$B$10)),$B$3-($F100*$B$6-SUM(G$3:G100)+$B$10*$F100)))</f>
        <v>1652012.8205128205</v>
      </c>
      <c r="M100" s="15">
        <f>IF(F100&gt;=ROUND($B$4*12,0),0,IF(LOWER(LEFT($B$2,1))="s", ($B$3-($B$3/ROUND($B$4*12,0))*F100),$B$3-(F100*$B$6-SUM(H$3:H100))))</f>
        <v>1786762.8205128205</v>
      </c>
    </row>
    <row r="101" spans="1:13" x14ac:dyDescent="0.6">
      <c r="A101" s="4"/>
      <c r="B101" s="4"/>
      <c r="C101" s="4"/>
      <c r="D101" s="4"/>
      <c r="E101" s="23"/>
      <c r="F101" s="10">
        <v>99</v>
      </c>
      <c r="G101" s="11">
        <f>IF(F101&gt;$B$14, 0, IF(LOWER(LEFT($B$2,1))="s", ($B$3-($F101-1)*($B$3/ROUND($B$4*12,0)+$B$10))*($B$5/12),IF(F101=$B$14, ($B$3-((F101-1)*($B$10+$B$6)-SUM(G$3:G100)))*($B$5/12), ABS(IPMT($B$5/12,$F101,NPER($B$5/12,-ABS($B$6)-$B$10,$B$3,0),$B$3)))))</f>
        <v>7557.9586538461535</v>
      </c>
      <c r="H101" s="12">
        <f t="shared" si="3"/>
        <v>8174.4399038461543</v>
      </c>
      <c r="I101" s="11">
        <f t="shared" si="4"/>
        <v>616.48125000000073</v>
      </c>
      <c r="J101" s="12">
        <f>IF(H101=0, 0, ROUND(SUM(H$3:H101)-SUM(G$3:G101),0))</f>
        <v>30516</v>
      </c>
      <c r="K101" s="12" t="str">
        <f t="shared" si="5"/>
        <v/>
      </c>
      <c r="L101" s="11">
        <f>IF($F101&gt;=$B$14, 0, IF(LOWER(LEFT($B$2,1))="s", ($B$3-($F101)*($B$3/ROUND($B$4*12,0)+$B$10)),$B$3-($F101*$B$6-SUM(G$3:G101)+$B$10*$F101)))</f>
        <v>1642288.4615384615</v>
      </c>
      <c r="M101" s="11">
        <f>IF(F101&gt;=ROUND($B$4*12,0),0,IF(LOWER(LEFT($B$2,1))="s", ($B$3-($B$3/ROUND($B$4*12,0))*F101),$B$3-(F101*$B$6-SUM(H$3:H101))))</f>
        <v>1778413.4615384615</v>
      </c>
    </row>
    <row r="102" spans="1:13" x14ac:dyDescent="0.6">
      <c r="A102" s="4"/>
      <c r="B102" s="4"/>
      <c r="C102" s="4"/>
      <c r="D102" s="4"/>
      <c r="E102" s="23"/>
      <c r="F102" s="14">
        <v>100</v>
      </c>
      <c r="G102" s="15">
        <f>IF(F102&gt;$B$14, 0, IF(LOWER(LEFT($B$2,1))="s", ($B$3-($F102-1)*($B$3/ROUND($B$4*12,0)+$B$10))*($B$5/12),IF(F102=$B$14, ($B$3-((F102-1)*($B$10+$B$6)-SUM(G$3:G101)))*($B$5/12), ABS(IPMT($B$5/12,$F102,NPER($B$5/12,-ABS($B$6)-$B$10,$B$3,0),$B$3)))))</f>
        <v>7513.4697115384615</v>
      </c>
      <c r="H102" s="16">
        <f t="shared" si="3"/>
        <v>8136.2415865384619</v>
      </c>
      <c r="I102" s="15">
        <f t="shared" si="4"/>
        <v>622.77187500000036</v>
      </c>
      <c r="J102" s="16">
        <f>IF(H102=0, 0, ROUND(SUM(H$3:H102)-SUM(G$3:G102),0))</f>
        <v>31139</v>
      </c>
      <c r="K102" s="16" t="str">
        <f t="shared" si="5"/>
        <v/>
      </c>
      <c r="L102" s="15">
        <f>IF($F102&gt;=$B$14, 0, IF(LOWER(LEFT($B$2,1))="s", ($B$3-($F102)*($B$3/ROUND($B$4*12,0)+$B$10)),$B$3-($F102*$B$6-SUM(G$3:G102)+$B$10*$F102)))</f>
        <v>1632564.1025641025</v>
      </c>
      <c r="M102" s="15">
        <f>IF(F102&gt;=ROUND($B$4*12,0),0,IF(LOWER(LEFT($B$2,1))="s", ($B$3-($B$3/ROUND($B$4*12,0))*F102),$B$3-(F102*$B$6-SUM(H$3:H102))))</f>
        <v>1770064.1025641025</v>
      </c>
    </row>
    <row r="103" spans="1:13" x14ac:dyDescent="0.6">
      <c r="A103" s="4"/>
      <c r="B103" s="4"/>
      <c r="C103" s="4"/>
      <c r="D103" s="4"/>
      <c r="E103" s="23"/>
      <c r="F103" s="10">
        <v>101</v>
      </c>
      <c r="G103" s="11">
        <f>IF(F103&gt;$B$14, 0, IF(LOWER(LEFT($B$2,1))="s", ($B$3-($F103-1)*($B$3/ROUND($B$4*12,0)+$B$10))*($B$5/12),IF(F103=$B$14, ($B$3-((F103-1)*($B$10+$B$6)-SUM(G$3:G102)))*($B$5/12), ABS(IPMT($B$5/12,$F103,NPER($B$5/12,-ABS($B$6)-$B$10,$B$3,0),$B$3)))))</f>
        <v>7468.9807692307695</v>
      </c>
      <c r="H103" s="12">
        <f t="shared" si="3"/>
        <v>8098.0432692307695</v>
      </c>
      <c r="I103" s="11">
        <f t="shared" si="4"/>
        <v>629.0625</v>
      </c>
      <c r="J103" s="12">
        <f>IF(H103=0, 0, ROUND(SUM(H$3:H103)-SUM(G$3:G103),0))</f>
        <v>31768</v>
      </c>
      <c r="K103" s="12" t="str">
        <f t="shared" si="5"/>
        <v/>
      </c>
      <c r="L103" s="11">
        <f>IF($F103&gt;=$B$14, 0, IF(LOWER(LEFT($B$2,1))="s", ($B$3-($F103)*($B$3/ROUND($B$4*12,0)+$B$10)),$B$3-($F103*$B$6-SUM(G$3:G103)+$B$10*$F103)))</f>
        <v>1622839.7435897435</v>
      </c>
      <c r="M103" s="11">
        <f>IF(F103&gt;=ROUND($B$4*12,0),0,IF(LOWER(LEFT($B$2,1))="s", ($B$3-($B$3/ROUND($B$4*12,0))*F103),$B$3-(F103*$B$6-SUM(H$3:H103))))</f>
        <v>1761714.7435897435</v>
      </c>
    </row>
    <row r="104" spans="1:13" x14ac:dyDescent="0.6">
      <c r="A104" s="4"/>
      <c r="B104" s="4"/>
      <c r="C104" s="4"/>
      <c r="D104" s="4"/>
      <c r="E104" s="23"/>
      <c r="F104" s="14">
        <v>102</v>
      </c>
      <c r="G104" s="15">
        <f>IF(F104&gt;$B$14, 0, IF(LOWER(LEFT($B$2,1))="s", ($B$3-($F104-1)*($B$3/ROUND($B$4*12,0)+$B$10))*($B$5/12),IF(F104=$B$14, ($B$3-((F104-1)*($B$10+$B$6)-SUM(G$3:G103)))*($B$5/12), ABS(IPMT($B$5/12,$F104,NPER($B$5/12,-ABS($B$6)-$B$10,$B$3,0),$B$3)))))</f>
        <v>7424.4918269230766</v>
      </c>
      <c r="H104" s="16">
        <f t="shared" si="3"/>
        <v>8059.8449519230762</v>
      </c>
      <c r="I104" s="15">
        <f t="shared" si="4"/>
        <v>635.35312499999964</v>
      </c>
      <c r="J104" s="16">
        <f>IF(H104=0, 0, ROUND(SUM(H$3:H104)-SUM(G$3:G104),0))</f>
        <v>32403</v>
      </c>
      <c r="K104" s="16">
        <f t="shared" si="5"/>
        <v>140000</v>
      </c>
      <c r="L104" s="15">
        <f>IF($F104&gt;=$B$14, 0, IF(LOWER(LEFT($B$2,1))="s", ($B$3-($F104)*($B$3/ROUND($B$4*12,0)+$B$10)),$B$3-($F104*$B$6-SUM(G$3:G104)+$B$10*$F104)))</f>
        <v>1613115.3846153845</v>
      </c>
      <c r="M104" s="15">
        <f>IF(F104&gt;=ROUND($B$4*12,0),0,IF(LOWER(LEFT($B$2,1))="s", ($B$3-($B$3/ROUND($B$4*12,0))*F104),$B$3-(F104*$B$6-SUM(H$3:H104))))</f>
        <v>1753365.3846153845</v>
      </c>
    </row>
    <row r="105" spans="1:13" x14ac:dyDescent="0.6">
      <c r="A105" s="4"/>
      <c r="B105" s="4"/>
      <c r="C105" s="4"/>
      <c r="D105" s="4"/>
      <c r="E105" s="23"/>
      <c r="F105" s="10">
        <v>103</v>
      </c>
      <c r="G105" s="11">
        <f>IF(F105&gt;$B$14, 0, IF(LOWER(LEFT($B$2,1))="s", ($B$3-($F105-1)*($B$3/ROUND($B$4*12,0)+$B$10))*($B$5/12),IF(F105=$B$14, ($B$3-((F105-1)*($B$10+$B$6)-SUM(G$3:G104)))*($B$5/12), ABS(IPMT($B$5/12,$F105,NPER($B$5/12,-ABS($B$6)-$B$10,$B$3,0),$B$3)))))</f>
        <v>7380.0028846153846</v>
      </c>
      <c r="H105" s="12">
        <f t="shared" si="3"/>
        <v>8021.6466346153838</v>
      </c>
      <c r="I105" s="11">
        <f t="shared" si="4"/>
        <v>641.64374999999927</v>
      </c>
      <c r="J105" s="12">
        <f>IF(H105=0, 0, ROUND(SUM(H$3:H105)-SUM(G$3:G105),0))</f>
        <v>33045</v>
      </c>
      <c r="K105" s="12" t="str">
        <f t="shared" si="5"/>
        <v/>
      </c>
      <c r="L105" s="11">
        <f>IF($F105&gt;=$B$14, 0, IF(LOWER(LEFT($B$2,1))="s", ($B$3-($F105)*($B$3/ROUND($B$4*12,0)+$B$10)),$B$3-($F105*$B$6-SUM(G$3:G105)+$B$10*$F105)))</f>
        <v>1603391.0256410255</v>
      </c>
      <c r="M105" s="11">
        <f>IF(F105&gt;=ROUND($B$4*12,0),0,IF(LOWER(LEFT($B$2,1))="s", ($B$3-($B$3/ROUND($B$4*12,0))*F105),$B$3-(F105*$B$6-SUM(H$3:H105))))</f>
        <v>1745016.0256410255</v>
      </c>
    </row>
    <row r="106" spans="1:13" x14ac:dyDescent="0.6">
      <c r="A106" s="4"/>
      <c r="B106" s="4"/>
      <c r="C106" s="4"/>
      <c r="D106" s="4"/>
      <c r="E106" s="23"/>
      <c r="F106" s="14">
        <v>104</v>
      </c>
      <c r="G106" s="15">
        <f>IF(F106&gt;$B$14, 0, IF(LOWER(LEFT($B$2,1))="s", ($B$3-($F106-1)*($B$3/ROUND($B$4*12,0)+$B$10))*($B$5/12),IF(F106=$B$14, ($B$3-((F106-1)*($B$10+$B$6)-SUM(G$3:G105)))*($B$5/12), ABS(IPMT($B$5/12,$F106,NPER($B$5/12,-ABS($B$6)-$B$10,$B$3,0),$B$3)))))</f>
        <v>7335.5139423076917</v>
      </c>
      <c r="H106" s="16">
        <f t="shared" si="3"/>
        <v>7983.4483173076915</v>
      </c>
      <c r="I106" s="15">
        <f t="shared" si="4"/>
        <v>647.93437499999982</v>
      </c>
      <c r="J106" s="16">
        <f>IF(H106=0, 0, ROUND(SUM(H$3:H106)-SUM(G$3:G106),0))</f>
        <v>33693</v>
      </c>
      <c r="K106" s="16" t="str">
        <f t="shared" si="5"/>
        <v/>
      </c>
      <c r="L106" s="15">
        <f>IF($F106&gt;=$B$14, 0, IF(LOWER(LEFT($B$2,1))="s", ($B$3-($F106)*($B$3/ROUND($B$4*12,0)+$B$10)),$B$3-($F106*$B$6-SUM(G$3:G106)+$B$10*$F106)))</f>
        <v>1593666.6666666665</v>
      </c>
      <c r="M106" s="15">
        <f>IF(F106&gt;=ROUND($B$4*12,0),0,IF(LOWER(LEFT($B$2,1))="s", ($B$3-($B$3/ROUND($B$4*12,0))*F106),$B$3-(F106*$B$6-SUM(H$3:H106))))</f>
        <v>1736666.6666666665</v>
      </c>
    </row>
    <row r="107" spans="1:13" x14ac:dyDescent="0.6">
      <c r="A107" s="4"/>
      <c r="B107" s="4"/>
      <c r="C107" s="4"/>
      <c r="D107" s="4"/>
      <c r="E107" s="23"/>
      <c r="F107" s="10">
        <v>105</v>
      </c>
      <c r="G107" s="11">
        <f>IF(F107&gt;$B$14, 0, IF(LOWER(LEFT($B$2,1))="s", ($B$3-($F107-1)*($B$3/ROUND($B$4*12,0)+$B$10))*($B$5/12),IF(F107=$B$14, ($B$3-((F107-1)*($B$10+$B$6)-SUM(G$3:G106)))*($B$5/12), ABS(IPMT($B$5/12,$F107,NPER($B$5/12,-ABS($B$6)-$B$10,$B$3,0),$B$3)))))</f>
        <v>7291.0249999999996</v>
      </c>
      <c r="H107" s="12">
        <f t="shared" si="3"/>
        <v>7945.2499999999991</v>
      </c>
      <c r="I107" s="11">
        <f t="shared" si="4"/>
        <v>654.22499999999945</v>
      </c>
      <c r="J107" s="12">
        <f>IF(H107=0, 0, ROUND(SUM(H$3:H107)-SUM(G$3:G107),0))</f>
        <v>34347</v>
      </c>
      <c r="K107" s="12" t="str">
        <f t="shared" si="5"/>
        <v/>
      </c>
      <c r="L107" s="11">
        <f>IF($F107&gt;=$B$14, 0, IF(LOWER(LEFT($B$2,1))="s", ($B$3-($F107)*($B$3/ROUND($B$4*12,0)+$B$10)),$B$3-($F107*$B$6-SUM(G$3:G107)+$B$10*$F107)))</f>
        <v>1583942.3076923075</v>
      </c>
      <c r="M107" s="11">
        <f>IF(F107&gt;=ROUND($B$4*12,0),0,IF(LOWER(LEFT($B$2,1))="s", ($B$3-($B$3/ROUND($B$4*12,0))*F107),$B$3-(F107*$B$6-SUM(H$3:H107))))</f>
        <v>1728317.3076923075</v>
      </c>
    </row>
    <row r="108" spans="1:13" x14ac:dyDescent="0.6">
      <c r="A108" s="4"/>
      <c r="B108" s="4"/>
      <c r="C108" s="4"/>
      <c r="D108" s="4"/>
      <c r="E108" s="23"/>
      <c r="F108" s="14">
        <v>106</v>
      </c>
      <c r="G108" s="15">
        <f>IF(F108&gt;$B$14, 0, IF(LOWER(LEFT($B$2,1))="s", ($B$3-($F108-1)*($B$3/ROUND($B$4*12,0)+$B$10))*($B$5/12),IF(F108=$B$14, ($B$3-((F108-1)*($B$10+$B$6)-SUM(G$3:G107)))*($B$5/12), ABS(IPMT($B$5/12,$F108,NPER($B$5/12,-ABS($B$6)-$B$10,$B$3,0),$B$3)))))</f>
        <v>7246.5360576923067</v>
      </c>
      <c r="H108" s="16">
        <f t="shared" si="3"/>
        <v>7907.0516826923067</v>
      </c>
      <c r="I108" s="15">
        <f t="shared" si="4"/>
        <v>660.515625</v>
      </c>
      <c r="J108" s="16">
        <f>IF(H108=0, 0, ROUND(SUM(H$3:H108)-SUM(G$3:G108),0))</f>
        <v>35007</v>
      </c>
      <c r="K108" s="16" t="str">
        <f t="shared" si="5"/>
        <v/>
      </c>
      <c r="L108" s="15">
        <f>IF($F108&gt;=$B$14, 0, IF(LOWER(LEFT($B$2,1))="s", ($B$3-($F108)*($B$3/ROUND($B$4*12,0)+$B$10)),$B$3-($F108*$B$6-SUM(G$3:G108)+$B$10*$F108)))</f>
        <v>1574217.9487179487</v>
      </c>
      <c r="M108" s="15">
        <f>IF(F108&gt;=ROUND($B$4*12,0),0,IF(LOWER(LEFT($B$2,1))="s", ($B$3-($B$3/ROUND($B$4*12,0))*F108),$B$3-(F108*$B$6-SUM(H$3:H108))))</f>
        <v>1719967.9487179487</v>
      </c>
    </row>
    <row r="109" spans="1:13" x14ac:dyDescent="0.6">
      <c r="A109" s="4"/>
      <c r="B109" s="4"/>
      <c r="C109" s="4"/>
      <c r="D109" s="4"/>
      <c r="E109" s="23"/>
      <c r="F109" s="10">
        <v>107</v>
      </c>
      <c r="G109" s="11">
        <f>IF(F109&gt;$B$14, 0, IF(LOWER(LEFT($B$2,1))="s", ($B$3-($F109-1)*($B$3/ROUND($B$4*12,0)+$B$10))*($B$5/12),IF(F109=$B$14, ($B$3-((F109-1)*($B$10+$B$6)-SUM(G$3:G108)))*($B$5/12), ABS(IPMT($B$5/12,$F109,NPER($B$5/12,-ABS($B$6)-$B$10,$B$3,0),$B$3)))))</f>
        <v>7202.0471153846156</v>
      </c>
      <c r="H109" s="12">
        <f t="shared" si="3"/>
        <v>7868.8533653846152</v>
      </c>
      <c r="I109" s="11">
        <f t="shared" si="4"/>
        <v>666.80624999999964</v>
      </c>
      <c r="J109" s="12">
        <f>IF(H109=0, 0, ROUND(SUM(H$3:H109)-SUM(G$3:G109),0))</f>
        <v>35674</v>
      </c>
      <c r="K109" s="12" t="str">
        <f t="shared" si="5"/>
        <v/>
      </c>
      <c r="L109" s="11">
        <f>IF($F109&gt;=$B$14, 0, IF(LOWER(LEFT($B$2,1))="s", ($B$3-($F109)*($B$3/ROUND($B$4*12,0)+$B$10)),$B$3-($F109*$B$6-SUM(G$3:G109)+$B$10*$F109)))</f>
        <v>1564493.5897435897</v>
      </c>
      <c r="M109" s="11">
        <f>IF(F109&gt;=ROUND($B$4*12,0),0,IF(LOWER(LEFT($B$2,1))="s", ($B$3-($B$3/ROUND($B$4*12,0))*F109),$B$3-(F109*$B$6-SUM(H$3:H109))))</f>
        <v>1711618.5897435897</v>
      </c>
    </row>
    <row r="110" spans="1:13" x14ac:dyDescent="0.6">
      <c r="A110" s="4"/>
      <c r="B110" s="4"/>
      <c r="C110" s="4"/>
      <c r="D110" s="4"/>
      <c r="E110" s="23" t="s">
        <v>32</v>
      </c>
      <c r="F110" s="14">
        <v>108</v>
      </c>
      <c r="G110" s="15">
        <f>IF(F110&gt;$B$14, 0, IF(LOWER(LEFT($B$2,1))="s", ($B$3-($F110-1)*($B$3/ROUND($B$4*12,0)+$B$10))*($B$5/12),IF(F110=$B$14, ($B$3-((F110-1)*($B$10+$B$6)-SUM(G$3:G109)))*($B$5/12), ABS(IPMT($B$5/12,$F110,NPER($B$5/12,-ABS($B$6)-$B$10,$B$3,0),$B$3)))))</f>
        <v>7157.5581730769236</v>
      </c>
      <c r="H110" s="16">
        <f t="shared" si="3"/>
        <v>7830.6550480769229</v>
      </c>
      <c r="I110" s="15">
        <f t="shared" si="4"/>
        <v>673.09687499999927</v>
      </c>
      <c r="J110" s="16">
        <f>IF(H110=0, 0, ROUND(SUM(H$3:H110)-SUM(G$3:G110),0))</f>
        <v>36347</v>
      </c>
      <c r="K110" s="16" t="str">
        <f t="shared" si="5"/>
        <v/>
      </c>
      <c r="L110" s="15">
        <f>IF($F110&gt;=$B$14, 0, IF(LOWER(LEFT($B$2,1))="s", ($B$3-($F110)*($B$3/ROUND($B$4*12,0)+$B$10)),$B$3-($F110*$B$6-SUM(G$3:G110)+$B$10*$F110)))</f>
        <v>1554769.2307692308</v>
      </c>
      <c r="M110" s="15">
        <f>IF(F110&gt;=ROUND($B$4*12,0),0,IF(LOWER(LEFT($B$2,1))="s", ($B$3-($B$3/ROUND($B$4*12,0))*F110),$B$3-(F110*$B$6-SUM(H$3:H110))))</f>
        <v>1703269.2307692308</v>
      </c>
    </row>
    <row r="111" spans="1:13" x14ac:dyDescent="0.6">
      <c r="A111" s="4"/>
      <c r="B111" s="4"/>
      <c r="C111" s="4"/>
      <c r="D111" s="4"/>
      <c r="E111" s="23"/>
      <c r="F111" s="10">
        <v>109</v>
      </c>
      <c r="G111" s="11">
        <f>IF(F111&gt;$B$14, 0, IF(LOWER(LEFT($B$2,1))="s", ($B$3-($F111-1)*($B$3/ROUND($B$4*12,0)+$B$10))*($B$5/12),IF(F111=$B$14, ($B$3-((F111-1)*($B$10+$B$6)-SUM(G$3:G110)))*($B$5/12), ABS(IPMT($B$5/12,$F111,NPER($B$5/12,-ABS($B$6)-$B$10,$B$3,0),$B$3)))))</f>
        <v>7113.0692307692307</v>
      </c>
      <c r="H111" s="12">
        <f t="shared" si="3"/>
        <v>7792.4567307692305</v>
      </c>
      <c r="I111" s="11">
        <f t="shared" si="4"/>
        <v>679.38749999999982</v>
      </c>
      <c r="J111" s="12">
        <f>IF(H111=0, 0, ROUND(SUM(H$3:H111)-SUM(G$3:G111),0))</f>
        <v>37027</v>
      </c>
      <c r="K111" s="12" t="str">
        <f t="shared" si="5"/>
        <v/>
      </c>
      <c r="L111" s="11">
        <f>IF($F111&gt;=$B$14, 0, IF(LOWER(LEFT($B$2,1))="s", ($B$3-($F111)*($B$3/ROUND($B$4*12,0)+$B$10)),$B$3-($F111*$B$6-SUM(G$3:G111)+$B$10*$F111)))</f>
        <v>1545044.8717948718</v>
      </c>
      <c r="M111" s="11">
        <f>IF(F111&gt;=ROUND($B$4*12,0),0,IF(LOWER(LEFT($B$2,1))="s", ($B$3-($B$3/ROUND($B$4*12,0))*F111),$B$3-(F111*$B$6-SUM(H$3:H111))))</f>
        <v>1694919.8717948718</v>
      </c>
    </row>
    <row r="112" spans="1:13" x14ac:dyDescent="0.6">
      <c r="A112" s="4"/>
      <c r="B112" s="4"/>
      <c r="C112" s="4"/>
      <c r="D112" s="4"/>
      <c r="E112" s="23"/>
      <c r="F112" s="14">
        <v>110</v>
      </c>
      <c r="G112" s="15">
        <f>IF(F112&gt;$B$14, 0, IF(LOWER(LEFT($B$2,1))="s", ($B$3-($F112-1)*($B$3/ROUND($B$4*12,0)+$B$10))*($B$5/12),IF(F112=$B$14, ($B$3-((F112-1)*($B$10+$B$6)-SUM(G$3:G111)))*($B$5/12), ABS(IPMT($B$5/12,$F112,NPER($B$5/12,-ABS($B$6)-$B$10,$B$3,0),$B$3)))))</f>
        <v>7068.5802884615387</v>
      </c>
      <c r="H112" s="16">
        <f t="shared" si="3"/>
        <v>7754.2584134615381</v>
      </c>
      <c r="I112" s="15">
        <f t="shared" si="4"/>
        <v>685.67812499999945</v>
      </c>
      <c r="J112" s="16">
        <f>IF(H112=0, 0, ROUND(SUM(H$3:H112)-SUM(G$3:G112),0))</f>
        <v>37712</v>
      </c>
      <c r="K112" s="16">
        <f t="shared" si="5"/>
        <v>150000</v>
      </c>
      <c r="L112" s="15">
        <f>IF($F112&gt;=$B$14, 0, IF(LOWER(LEFT($B$2,1))="s", ($B$3-($F112)*($B$3/ROUND($B$4*12,0)+$B$10)),$B$3-($F112*$B$6-SUM(G$3:G112)+$B$10*$F112)))</f>
        <v>1535320.5128205128</v>
      </c>
      <c r="M112" s="15">
        <f>IF(F112&gt;=ROUND($B$4*12,0),0,IF(LOWER(LEFT($B$2,1))="s", ($B$3-($B$3/ROUND($B$4*12,0))*F112),$B$3-(F112*$B$6-SUM(H$3:H112))))</f>
        <v>1686570.5128205128</v>
      </c>
    </row>
    <row r="113" spans="1:13" x14ac:dyDescent="0.6">
      <c r="A113" s="4"/>
      <c r="B113" s="4"/>
      <c r="C113" s="4"/>
      <c r="D113" s="4"/>
      <c r="E113" s="23"/>
      <c r="F113" s="10">
        <v>111</v>
      </c>
      <c r="G113" s="11">
        <f>IF(F113&gt;$B$14, 0, IF(LOWER(LEFT($B$2,1))="s", ($B$3-($F113-1)*($B$3/ROUND($B$4*12,0)+$B$10))*($B$5/12),IF(F113=$B$14, ($B$3-((F113-1)*($B$10+$B$6)-SUM(G$3:G112)))*($B$5/12), ABS(IPMT($B$5/12,$F113,NPER($B$5/12,-ABS($B$6)-$B$10,$B$3,0),$B$3)))))</f>
        <v>7024.0913461538457</v>
      </c>
      <c r="H113" s="12">
        <f t="shared" si="3"/>
        <v>7716.0600961538457</v>
      </c>
      <c r="I113" s="11">
        <f t="shared" si="4"/>
        <v>691.96875</v>
      </c>
      <c r="J113" s="12">
        <f>IF(H113=0, 0, ROUND(SUM(H$3:H113)-SUM(G$3:G113),0))</f>
        <v>38404</v>
      </c>
      <c r="K113" s="12" t="str">
        <f t="shared" si="5"/>
        <v/>
      </c>
      <c r="L113" s="11">
        <f>IF($F113&gt;=$B$14, 0, IF(LOWER(LEFT($B$2,1))="s", ($B$3-($F113)*($B$3/ROUND($B$4*12,0)+$B$10)),$B$3-($F113*$B$6-SUM(G$3:G113)+$B$10*$F113)))</f>
        <v>1525596.1538461538</v>
      </c>
      <c r="M113" s="11">
        <f>IF(F113&gt;=ROUND($B$4*12,0),0,IF(LOWER(LEFT($B$2,1))="s", ($B$3-($B$3/ROUND($B$4*12,0))*F113),$B$3-(F113*$B$6-SUM(H$3:H113))))</f>
        <v>1678221.153846154</v>
      </c>
    </row>
    <row r="114" spans="1:13" x14ac:dyDescent="0.6">
      <c r="A114" s="4"/>
      <c r="B114" s="4"/>
      <c r="C114" s="4"/>
      <c r="D114" s="4"/>
      <c r="E114" s="23"/>
      <c r="F114" s="14">
        <v>112</v>
      </c>
      <c r="G114" s="15">
        <f>IF(F114&gt;$B$14, 0, IF(LOWER(LEFT($B$2,1))="s", ($B$3-($F114-1)*($B$3/ROUND($B$4*12,0)+$B$10))*($B$5/12),IF(F114=$B$14, ($B$3-((F114-1)*($B$10+$B$6)-SUM(G$3:G113)))*($B$5/12), ABS(IPMT($B$5/12,$F114,NPER($B$5/12,-ABS($B$6)-$B$10,$B$3,0),$B$3)))))</f>
        <v>6979.6024038461537</v>
      </c>
      <c r="H114" s="16">
        <f t="shared" si="3"/>
        <v>7677.8617788461543</v>
      </c>
      <c r="I114" s="15">
        <f t="shared" si="4"/>
        <v>698.25937500000055</v>
      </c>
      <c r="J114" s="16">
        <f>IF(H114=0, 0, ROUND(SUM(H$3:H114)-SUM(G$3:G114),0))</f>
        <v>39103</v>
      </c>
      <c r="K114" s="16" t="str">
        <f t="shared" si="5"/>
        <v/>
      </c>
      <c r="L114" s="15">
        <f>IF($F114&gt;=$B$14, 0, IF(LOWER(LEFT($B$2,1))="s", ($B$3-($F114)*($B$3/ROUND($B$4*12,0)+$B$10)),$B$3-($F114*$B$6-SUM(G$3:G114)+$B$10*$F114)))</f>
        <v>1515871.7948717948</v>
      </c>
      <c r="M114" s="15">
        <f>IF(F114&gt;=ROUND($B$4*12,0),0,IF(LOWER(LEFT($B$2,1))="s", ($B$3-($B$3/ROUND($B$4*12,0))*F114),$B$3-(F114*$B$6-SUM(H$3:H114))))</f>
        <v>1669871.794871795</v>
      </c>
    </row>
    <row r="115" spans="1:13" x14ac:dyDescent="0.6">
      <c r="A115" s="4"/>
      <c r="B115" s="4"/>
      <c r="C115" s="4"/>
      <c r="D115" s="4"/>
      <c r="E115" s="23"/>
      <c r="F115" s="10">
        <v>113</v>
      </c>
      <c r="G115" s="11">
        <f>IF(F115&gt;$B$14, 0, IF(LOWER(LEFT($B$2,1))="s", ($B$3-($F115-1)*($B$3/ROUND($B$4*12,0)+$B$10))*($B$5/12),IF(F115=$B$14, ($B$3-((F115-1)*($B$10+$B$6)-SUM(G$3:G114)))*($B$5/12), ABS(IPMT($B$5/12,$F115,NPER($B$5/12,-ABS($B$6)-$B$10,$B$3,0),$B$3)))))</f>
        <v>6935.1134615384608</v>
      </c>
      <c r="H115" s="12">
        <f t="shared" si="3"/>
        <v>7639.6634615384619</v>
      </c>
      <c r="I115" s="11">
        <f t="shared" si="4"/>
        <v>704.55000000000109</v>
      </c>
      <c r="J115" s="12">
        <f>IF(H115=0, 0, ROUND(SUM(H$3:H115)-SUM(G$3:G115),0))</f>
        <v>39807</v>
      </c>
      <c r="K115" s="12" t="str">
        <f t="shared" si="5"/>
        <v/>
      </c>
      <c r="L115" s="11">
        <f>IF($F115&gt;=$B$14, 0, IF(LOWER(LEFT($B$2,1))="s", ($B$3-($F115)*($B$3/ROUND($B$4*12,0)+$B$10)),$B$3-($F115*$B$6-SUM(G$3:G115)+$B$10*$F115)))</f>
        <v>1506147.4358974358</v>
      </c>
      <c r="M115" s="11">
        <f>IF(F115&gt;=ROUND($B$4*12,0),0,IF(LOWER(LEFT($B$2,1))="s", ($B$3-($B$3/ROUND($B$4*12,0))*F115),$B$3-(F115*$B$6-SUM(H$3:H115))))</f>
        <v>1661522.435897436</v>
      </c>
    </row>
    <row r="116" spans="1:13" x14ac:dyDescent="0.6">
      <c r="A116" s="4"/>
      <c r="B116" s="4"/>
      <c r="C116" s="4"/>
      <c r="D116" s="4"/>
      <c r="E116" s="23"/>
      <c r="F116" s="14">
        <v>114</v>
      </c>
      <c r="G116" s="15">
        <f>IF(F116&gt;$B$14, 0, IF(LOWER(LEFT($B$2,1))="s", ($B$3-($F116-1)*($B$3/ROUND($B$4*12,0)+$B$10))*($B$5/12),IF(F116=$B$14, ($B$3-((F116-1)*($B$10+$B$6)-SUM(G$3:G115)))*($B$5/12), ABS(IPMT($B$5/12,$F116,NPER($B$5/12,-ABS($B$6)-$B$10,$B$3,0),$B$3)))))</f>
        <v>6890.6245192307688</v>
      </c>
      <c r="H116" s="16">
        <f t="shared" si="3"/>
        <v>7601.4651442307695</v>
      </c>
      <c r="I116" s="15">
        <f t="shared" si="4"/>
        <v>710.84062500000073</v>
      </c>
      <c r="J116" s="16">
        <f>IF(H116=0, 0, ROUND(SUM(H$3:H116)-SUM(G$3:G116),0))</f>
        <v>40518</v>
      </c>
      <c r="K116" s="16" t="str">
        <f t="shared" si="5"/>
        <v/>
      </c>
      <c r="L116" s="15">
        <f>IF($F116&gt;=$B$14, 0, IF(LOWER(LEFT($B$2,1))="s", ($B$3-($F116)*($B$3/ROUND($B$4*12,0)+$B$10)),$B$3-($F116*$B$6-SUM(G$3:G116)+$B$10*$F116)))</f>
        <v>1496423.076923077</v>
      </c>
      <c r="M116" s="15">
        <f>IF(F116&gt;=ROUND($B$4*12,0),0,IF(LOWER(LEFT($B$2,1))="s", ($B$3-($B$3/ROUND($B$4*12,0))*F116),$B$3-(F116*$B$6-SUM(H$3:H116))))</f>
        <v>1653173.076923077</v>
      </c>
    </row>
    <row r="117" spans="1:13" x14ac:dyDescent="0.6">
      <c r="A117" s="4"/>
      <c r="B117" s="4"/>
      <c r="C117" s="4"/>
      <c r="D117" s="4"/>
      <c r="E117" s="23"/>
      <c r="F117" s="10">
        <v>115</v>
      </c>
      <c r="G117" s="11">
        <f>IF(F117&gt;$B$14, 0, IF(LOWER(LEFT($B$2,1))="s", ($B$3-($F117-1)*($B$3/ROUND($B$4*12,0)+$B$10))*($B$5/12),IF(F117=$B$14, ($B$3-((F117-1)*($B$10+$B$6)-SUM(G$3:G116)))*($B$5/12), ABS(IPMT($B$5/12,$F117,NPER($B$5/12,-ABS($B$6)-$B$10,$B$3,0),$B$3)))))</f>
        <v>6846.1355769230777</v>
      </c>
      <c r="H117" s="12">
        <f t="shared" si="3"/>
        <v>7563.2668269230771</v>
      </c>
      <c r="I117" s="11">
        <f t="shared" si="4"/>
        <v>717.13124999999945</v>
      </c>
      <c r="J117" s="12">
        <f>IF(H117=0, 0, ROUND(SUM(H$3:H117)-SUM(G$3:G117),0))</f>
        <v>41235</v>
      </c>
      <c r="K117" s="12" t="str">
        <f t="shared" si="5"/>
        <v/>
      </c>
      <c r="L117" s="11">
        <f>IF($F117&gt;=$B$14, 0, IF(LOWER(LEFT($B$2,1))="s", ($B$3-($F117)*($B$3/ROUND($B$4*12,0)+$B$10)),$B$3-($F117*$B$6-SUM(G$3:G117)+$B$10*$F117)))</f>
        <v>1486698.717948718</v>
      </c>
      <c r="M117" s="11">
        <f>IF(F117&gt;=ROUND($B$4*12,0),0,IF(LOWER(LEFT($B$2,1))="s", ($B$3-($B$3/ROUND($B$4*12,0))*F117),$B$3-(F117*$B$6-SUM(H$3:H117))))</f>
        <v>1644823.717948718</v>
      </c>
    </row>
    <row r="118" spans="1:13" x14ac:dyDescent="0.6">
      <c r="A118" s="4"/>
      <c r="B118" s="4"/>
      <c r="C118" s="4"/>
      <c r="D118" s="4"/>
      <c r="E118" s="23"/>
      <c r="F118" s="14">
        <v>116</v>
      </c>
      <c r="G118" s="15">
        <f>IF(F118&gt;$B$14, 0, IF(LOWER(LEFT($B$2,1))="s", ($B$3-($F118-1)*($B$3/ROUND($B$4*12,0)+$B$10))*($B$5/12),IF(F118=$B$14, ($B$3-((F118-1)*($B$10+$B$6)-SUM(G$3:G117)))*($B$5/12), ABS(IPMT($B$5/12,$F118,NPER($B$5/12,-ABS($B$6)-$B$10,$B$3,0),$B$3)))))</f>
        <v>6801.6466346153848</v>
      </c>
      <c r="H118" s="16">
        <f t="shared" si="3"/>
        <v>7525.0685096153848</v>
      </c>
      <c r="I118" s="15">
        <f t="shared" si="4"/>
        <v>723.421875</v>
      </c>
      <c r="J118" s="16">
        <f>IF(H118=0, 0, ROUND(SUM(H$3:H118)-SUM(G$3:G118),0))</f>
        <v>41958</v>
      </c>
      <c r="K118" s="16" t="str">
        <f t="shared" si="5"/>
        <v/>
      </c>
      <c r="L118" s="15">
        <f>IF($F118&gt;=$B$14, 0, IF(LOWER(LEFT($B$2,1))="s", ($B$3-($F118)*($B$3/ROUND($B$4*12,0)+$B$10)),$B$3-($F118*$B$6-SUM(G$3:G118)+$B$10*$F118)))</f>
        <v>1476974.358974359</v>
      </c>
      <c r="M118" s="15">
        <f>IF(F118&gt;=ROUND($B$4*12,0),0,IF(LOWER(LEFT($B$2,1))="s", ($B$3-($B$3/ROUND($B$4*12,0))*F118),$B$3-(F118*$B$6-SUM(H$3:H118))))</f>
        <v>1636474.358974359</v>
      </c>
    </row>
    <row r="119" spans="1:13" x14ac:dyDescent="0.6">
      <c r="A119" s="4"/>
      <c r="B119" s="4"/>
      <c r="C119" s="4"/>
      <c r="D119" s="4"/>
      <c r="E119" s="23"/>
      <c r="F119" s="10">
        <v>117</v>
      </c>
      <c r="G119" s="11">
        <f>IF(F119&gt;$B$14, 0, IF(LOWER(LEFT($B$2,1))="s", ($B$3-($F119-1)*($B$3/ROUND($B$4*12,0)+$B$10))*($B$5/12),IF(F119=$B$14, ($B$3-((F119-1)*($B$10+$B$6)-SUM(G$3:G118)))*($B$5/12), ABS(IPMT($B$5/12,$F119,NPER($B$5/12,-ABS($B$6)-$B$10,$B$3,0),$B$3)))))</f>
        <v>6757.1576923076927</v>
      </c>
      <c r="H119" s="12">
        <f t="shared" si="3"/>
        <v>7486.8701923076924</v>
      </c>
      <c r="I119" s="11">
        <f t="shared" si="4"/>
        <v>729.71249999999964</v>
      </c>
      <c r="J119" s="12">
        <f>IF(H119=0, 0, ROUND(SUM(H$3:H119)-SUM(G$3:G119),0))</f>
        <v>42688</v>
      </c>
      <c r="K119" s="12">
        <f t="shared" si="5"/>
        <v>160000</v>
      </c>
      <c r="L119" s="11">
        <f>IF($F119&gt;=$B$14, 0, IF(LOWER(LEFT($B$2,1))="s", ($B$3-($F119)*($B$3/ROUND($B$4*12,0)+$B$10)),$B$3-($F119*$B$6-SUM(G$3:G119)+$B$10*$F119)))</f>
        <v>1467250</v>
      </c>
      <c r="M119" s="11">
        <f>IF(F119&gt;=ROUND($B$4*12,0),0,IF(LOWER(LEFT($B$2,1))="s", ($B$3-($B$3/ROUND($B$4*12,0))*F119),$B$3-(F119*$B$6-SUM(H$3:H119))))</f>
        <v>1628125</v>
      </c>
    </row>
    <row r="120" spans="1:13" x14ac:dyDescent="0.6">
      <c r="A120" s="4"/>
      <c r="B120" s="4"/>
      <c r="C120" s="4"/>
      <c r="D120" s="4"/>
      <c r="E120" s="23"/>
      <c r="F120" s="14">
        <v>118</v>
      </c>
      <c r="G120" s="15">
        <f>IF(F120&gt;$B$14, 0, IF(LOWER(LEFT($B$2,1))="s", ($B$3-($F120-1)*($B$3/ROUND($B$4*12,0)+$B$10))*($B$5/12),IF(F120=$B$14, ($B$3-((F120-1)*($B$10+$B$6)-SUM(G$3:G119)))*($B$5/12), ABS(IPMT($B$5/12,$F120,NPER($B$5/12,-ABS($B$6)-$B$10,$B$3,0),$B$3)))))</f>
        <v>6712.6687499999998</v>
      </c>
      <c r="H120" s="16">
        <f t="shared" si="3"/>
        <v>7448.671875</v>
      </c>
      <c r="I120" s="15">
        <f t="shared" si="4"/>
        <v>736.00312500000018</v>
      </c>
      <c r="J120" s="16">
        <f>IF(H120=0, 0, ROUND(SUM(H$3:H120)-SUM(G$3:G120),0))</f>
        <v>43424</v>
      </c>
      <c r="K120" s="16" t="str">
        <f t="shared" si="5"/>
        <v/>
      </c>
      <c r="L120" s="15">
        <f>IF($F120&gt;=$B$14, 0, IF(LOWER(LEFT($B$2,1))="s", ($B$3-($F120)*($B$3/ROUND($B$4*12,0)+$B$10)),$B$3-($F120*$B$6-SUM(G$3:G120)+$B$10*$F120)))</f>
        <v>1457525.641025641</v>
      </c>
      <c r="M120" s="15">
        <f>IF(F120&gt;=ROUND($B$4*12,0),0,IF(LOWER(LEFT($B$2,1))="s", ($B$3-($B$3/ROUND($B$4*12,0))*F120),$B$3-(F120*$B$6-SUM(H$3:H120))))</f>
        <v>1619775.641025641</v>
      </c>
    </row>
    <row r="121" spans="1:13" x14ac:dyDescent="0.6">
      <c r="A121" s="4"/>
      <c r="B121" s="4"/>
      <c r="C121" s="4"/>
      <c r="D121" s="4"/>
      <c r="E121" s="23"/>
      <c r="F121" s="10">
        <v>119</v>
      </c>
      <c r="G121" s="11">
        <f>IF(F121&gt;$B$14, 0, IF(LOWER(LEFT($B$2,1))="s", ($B$3-($F121-1)*($B$3/ROUND($B$4*12,0)+$B$10))*($B$5/12),IF(F121=$B$14, ($B$3-((F121-1)*($B$10+$B$6)-SUM(G$3:G120)))*($B$5/12), ABS(IPMT($B$5/12,$F121,NPER($B$5/12,-ABS($B$6)-$B$10,$B$3,0),$B$3)))))</f>
        <v>6668.1798076923078</v>
      </c>
      <c r="H121" s="12">
        <f t="shared" si="3"/>
        <v>7410.4735576923076</v>
      </c>
      <c r="I121" s="11">
        <f t="shared" si="4"/>
        <v>742.29374999999982</v>
      </c>
      <c r="J121" s="12">
        <f>IF(H121=0, 0, ROUND(SUM(H$3:H121)-SUM(G$3:G121),0))</f>
        <v>44166</v>
      </c>
      <c r="K121" s="12" t="str">
        <f t="shared" si="5"/>
        <v/>
      </c>
      <c r="L121" s="11">
        <f>IF($F121&gt;=$B$14, 0, IF(LOWER(LEFT($B$2,1))="s", ($B$3-($F121)*($B$3/ROUND($B$4*12,0)+$B$10)),$B$3-($F121*$B$6-SUM(G$3:G121)+$B$10*$F121)))</f>
        <v>1447801.282051282</v>
      </c>
      <c r="M121" s="11">
        <f>IF(F121&gt;=ROUND($B$4*12,0),0,IF(LOWER(LEFT($B$2,1))="s", ($B$3-($B$3/ROUND($B$4*12,0))*F121),$B$3-(F121*$B$6-SUM(H$3:H121))))</f>
        <v>1611426.282051282</v>
      </c>
    </row>
    <row r="122" spans="1:13" x14ac:dyDescent="0.6">
      <c r="A122" s="4"/>
      <c r="B122" s="4"/>
      <c r="C122" s="4"/>
      <c r="D122" s="4"/>
      <c r="E122" s="23" t="s">
        <v>33</v>
      </c>
      <c r="F122" s="14">
        <v>120</v>
      </c>
      <c r="G122" s="15">
        <f>IF(F122&gt;$B$14, 0, IF(LOWER(LEFT($B$2,1))="s", ($B$3-($F122-1)*($B$3/ROUND($B$4*12,0)+$B$10))*($B$5/12),IF(F122=$B$14, ($B$3-((F122-1)*($B$10+$B$6)-SUM(G$3:G121)))*($B$5/12), ABS(IPMT($B$5/12,$F122,NPER($B$5/12,-ABS($B$6)-$B$10,$B$3,0),$B$3)))))</f>
        <v>6623.6908653846149</v>
      </c>
      <c r="H122" s="16">
        <f t="shared" si="3"/>
        <v>7372.2752403846152</v>
      </c>
      <c r="I122" s="15">
        <f t="shared" si="4"/>
        <v>748.58437500000036</v>
      </c>
      <c r="J122" s="16">
        <f>IF(H122=0, 0, ROUND(SUM(H$3:H122)-SUM(G$3:G122),0))</f>
        <v>44915</v>
      </c>
      <c r="K122" s="16" t="str">
        <f t="shared" si="5"/>
        <v/>
      </c>
      <c r="L122" s="15">
        <f>IF($F122&gt;=$B$14, 0, IF(LOWER(LEFT($B$2,1))="s", ($B$3-($F122)*($B$3/ROUND($B$4*12,0)+$B$10)),$B$3-($F122*$B$6-SUM(G$3:G122)+$B$10*$F122)))</f>
        <v>1438076.923076923</v>
      </c>
      <c r="M122" s="15">
        <f>IF(F122&gt;=ROUND($B$4*12,0),0,IF(LOWER(LEFT($B$2,1))="s", ($B$3-($B$3/ROUND($B$4*12,0))*F122),$B$3-(F122*$B$6-SUM(H$3:H122))))</f>
        <v>1603076.923076923</v>
      </c>
    </row>
    <row r="123" spans="1:13" x14ac:dyDescent="0.6">
      <c r="A123" s="4"/>
      <c r="B123" s="4"/>
      <c r="C123" s="4"/>
      <c r="D123" s="4"/>
      <c r="E123" s="23"/>
      <c r="F123" s="10">
        <v>121</v>
      </c>
      <c r="G123" s="11">
        <f>IF(F123&gt;$B$14, 0, IF(LOWER(LEFT($B$2,1))="s", ($B$3-($F123-1)*($B$3/ROUND($B$4*12,0)+$B$10))*($B$5/12),IF(F123=$B$14, ($B$3-((F123-1)*($B$10+$B$6)-SUM(G$3:G122)))*($B$5/12), ABS(IPMT($B$5/12,$F123,NPER($B$5/12,-ABS($B$6)-$B$10,$B$3,0),$B$3)))))</f>
        <v>6579.2019230769229</v>
      </c>
      <c r="H123" s="12">
        <f t="shared" si="3"/>
        <v>7334.0769230769229</v>
      </c>
      <c r="I123" s="11">
        <f t="shared" si="4"/>
        <v>754.875</v>
      </c>
      <c r="J123" s="12">
        <f>IF(H123=0, 0, ROUND(SUM(H$3:H123)-SUM(G$3:G123),0))</f>
        <v>45670</v>
      </c>
      <c r="K123" s="12" t="str">
        <f t="shared" si="5"/>
        <v/>
      </c>
      <c r="L123" s="11">
        <f>IF($F123&gt;=$B$14, 0, IF(LOWER(LEFT($B$2,1))="s", ($B$3-($F123)*($B$3/ROUND($B$4*12,0)+$B$10)),$B$3-($F123*$B$6-SUM(G$3:G123)+$B$10*$F123)))</f>
        <v>1428352.564102564</v>
      </c>
      <c r="M123" s="11">
        <f>IF(F123&gt;=ROUND($B$4*12,0),0,IF(LOWER(LEFT($B$2,1))="s", ($B$3-($B$3/ROUND($B$4*12,0))*F123),$B$3-(F123*$B$6-SUM(H$3:H123))))</f>
        <v>1594727.564102564</v>
      </c>
    </row>
    <row r="124" spans="1:13" x14ac:dyDescent="0.6">
      <c r="A124" s="4"/>
      <c r="B124" s="4"/>
      <c r="C124" s="4"/>
      <c r="D124" s="4"/>
      <c r="E124" s="23"/>
      <c r="F124" s="14">
        <v>122</v>
      </c>
      <c r="G124" s="15">
        <f>IF(F124&gt;$B$14, 0, IF(LOWER(LEFT($B$2,1))="s", ($B$3-($F124-1)*($B$3/ROUND($B$4*12,0)+$B$10))*($B$5/12),IF(F124=$B$14, ($B$3-((F124-1)*($B$10+$B$6)-SUM(G$3:G123)))*($B$5/12), ABS(IPMT($B$5/12,$F124,NPER($B$5/12,-ABS($B$6)-$B$10,$B$3,0),$B$3)))))</f>
        <v>6534.7129807692309</v>
      </c>
      <c r="H124" s="16">
        <f t="shared" si="3"/>
        <v>7295.8786057692305</v>
      </c>
      <c r="I124" s="15">
        <f t="shared" si="4"/>
        <v>761.16562499999964</v>
      </c>
      <c r="J124" s="16">
        <f>IF(H124=0, 0, ROUND(SUM(H$3:H124)-SUM(G$3:G124),0))</f>
        <v>46431</v>
      </c>
      <c r="K124" s="16" t="str">
        <f t="shared" si="5"/>
        <v/>
      </c>
      <c r="L124" s="15">
        <f>IF($F124&gt;=$B$14, 0, IF(LOWER(LEFT($B$2,1))="s", ($B$3-($F124)*($B$3/ROUND($B$4*12,0)+$B$10)),$B$3-($F124*$B$6-SUM(G$3:G124)+$B$10*$F124)))</f>
        <v>1418628.205128205</v>
      </c>
      <c r="M124" s="15">
        <f>IF(F124&gt;=ROUND($B$4*12,0),0,IF(LOWER(LEFT($B$2,1))="s", ($B$3-($B$3/ROUND($B$4*12,0))*F124),$B$3-(F124*$B$6-SUM(H$3:H124))))</f>
        <v>1586378.205128205</v>
      </c>
    </row>
    <row r="125" spans="1:13" x14ac:dyDescent="0.6">
      <c r="A125" s="4"/>
      <c r="B125" s="4"/>
      <c r="C125" s="4"/>
      <c r="D125" s="4"/>
      <c r="E125" s="23"/>
      <c r="F125" s="10">
        <v>123</v>
      </c>
      <c r="G125" s="11">
        <f>IF(F125&gt;$B$14, 0, IF(LOWER(LEFT($B$2,1))="s", ($B$3-($F125-1)*($B$3/ROUND($B$4*12,0)+$B$10))*($B$5/12),IF(F125=$B$14, ($B$3-((F125-1)*($B$10+$B$6)-SUM(G$3:G124)))*($B$5/12), ABS(IPMT($B$5/12,$F125,NPER($B$5/12,-ABS($B$6)-$B$10,$B$3,0),$B$3)))))</f>
        <v>6490.2240384615379</v>
      </c>
      <c r="H125" s="12">
        <f t="shared" si="3"/>
        <v>7257.6802884615381</v>
      </c>
      <c r="I125" s="11">
        <f t="shared" si="4"/>
        <v>767.45625000000018</v>
      </c>
      <c r="J125" s="12">
        <f>IF(H125=0, 0, ROUND(SUM(H$3:H125)-SUM(G$3:G125),0))</f>
        <v>47199</v>
      </c>
      <c r="K125" s="12" t="str">
        <f t="shared" si="5"/>
        <v/>
      </c>
      <c r="L125" s="11">
        <f>IF($F125&gt;=$B$14, 0, IF(LOWER(LEFT($B$2,1))="s", ($B$3-($F125)*($B$3/ROUND($B$4*12,0)+$B$10)),$B$3-($F125*$B$6-SUM(G$3:G125)+$B$10*$F125)))</f>
        <v>1408903.846153846</v>
      </c>
      <c r="M125" s="11">
        <f>IF(F125&gt;=ROUND($B$4*12,0),0,IF(LOWER(LEFT($B$2,1))="s", ($B$3-($B$3/ROUND($B$4*12,0))*F125),$B$3-(F125*$B$6-SUM(H$3:H125))))</f>
        <v>1578028.846153846</v>
      </c>
    </row>
    <row r="126" spans="1:13" x14ac:dyDescent="0.6">
      <c r="A126" s="4"/>
      <c r="B126" s="4"/>
      <c r="C126" s="4"/>
      <c r="D126" s="4"/>
      <c r="E126" s="23"/>
      <c r="F126" s="14">
        <v>124</v>
      </c>
      <c r="G126" s="15">
        <f>IF(F126&gt;$B$14, 0, IF(LOWER(LEFT($B$2,1))="s", ($B$3-($F126-1)*($B$3/ROUND($B$4*12,0)+$B$10))*($B$5/12),IF(F126=$B$14, ($B$3-((F126-1)*($B$10+$B$6)-SUM(G$3:G125)))*($B$5/12), ABS(IPMT($B$5/12,$F126,NPER($B$5/12,-ABS($B$6)-$B$10,$B$3,0),$B$3)))))</f>
        <v>6445.7350961538459</v>
      </c>
      <c r="H126" s="16">
        <f t="shared" si="3"/>
        <v>7219.4819711538457</v>
      </c>
      <c r="I126" s="15">
        <f t="shared" si="4"/>
        <v>773.74687499999982</v>
      </c>
      <c r="J126" s="16">
        <f>IF(H126=0, 0, ROUND(SUM(H$3:H126)-SUM(G$3:G126),0))</f>
        <v>47972</v>
      </c>
      <c r="K126" s="16">
        <f t="shared" si="5"/>
        <v>170000</v>
      </c>
      <c r="L126" s="15">
        <f>IF($F126&gt;=$B$14, 0, IF(LOWER(LEFT($B$2,1))="s", ($B$3-($F126)*($B$3/ROUND($B$4*12,0)+$B$10)),$B$3-($F126*$B$6-SUM(G$3:G126)+$B$10*$F126)))</f>
        <v>1399179.4871794872</v>
      </c>
      <c r="M126" s="15">
        <f>IF(F126&gt;=ROUND($B$4*12,0),0,IF(LOWER(LEFT($B$2,1))="s", ($B$3-($B$3/ROUND($B$4*12,0))*F126),$B$3-(F126*$B$6-SUM(H$3:H126))))</f>
        <v>1569679.487179487</v>
      </c>
    </row>
    <row r="127" spans="1:13" x14ac:dyDescent="0.6">
      <c r="A127" s="4"/>
      <c r="B127" s="4"/>
      <c r="C127" s="4"/>
      <c r="D127" s="4"/>
      <c r="E127" s="23"/>
      <c r="F127" s="10">
        <v>125</v>
      </c>
      <c r="G127" s="11">
        <f>IF(F127&gt;$B$14, 0, IF(LOWER(LEFT($B$2,1))="s", ($B$3-($F127-1)*($B$3/ROUND($B$4*12,0)+$B$10))*($B$5/12),IF(F127=$B$14, ($B$3-((F127-1)*($B$10+$B$6)-SUM(G$3:G126)))*($B$5/12), ABS(IPMT($B$5/12,$F127,NPER($B$5/12,-ABS($B$6)-$B$10,$B$3,0),$B$3)))))</f>
        <v>6401.2461538461539</v>
      </c>
      <c r="H127" s="12">
        <f t="shared" si="3"/>
        <v>7181.2836538461534</v>
      </c>
      <c r="I127" s="11">
        <f t="shared" si="4"/>
        <v>780.03749999999945</v>
      </c>
      <c r="J127" s="12">
        <f>IF(H127=0, 0, ROUND(SUM(H$3:H127)-SUM(G$3:G127),0))</f>
        <v>48752</v>
      </c>
      <c r="K127" s="12" t="str">
        <f t="shared" si="5"/>
        <v/>
      </c>
      <c r="L127" s="11">
        <f>IF($F127&gt;=$B$14, 0, IF(LOWER(LEFT($B$2,1))="s", ($B$3-($F127)*($B$3/ROUND($B$4*12,0)+$B$10)),$B$3-($F127*$B$6-SUM(G$3:G127)+$B$10*$F127)))</f>
        <v>1389455.1282051282</v>
      </c>
      <c r="M127" s="11">
        <f>IF(F127&gt;=ROUND($B$4*12,0),0,IF(LOWER(LEFT($B$2,1))="s", ($B$3-($B$3/ROUND($B$4*12,0))*F127),$B$3-(F127*$B$6-SUM(H$3:H127))))</f>
        <v>1561330.128205128</v>
      </c>
    </row>
    <row r="128" spans="1:13" x14ac:dyDescent="0.6">
      <c r="A128" s="4"/>
      <c r="B128" s="4"/>
      <c r="C128" s="4"/>
      <c r="D128" s="4"/>
      <c r="E128" s="23"/>
      <c r="F128" s="14">
        <v>126</v>
      </c>
      <c r="G128" s="15">
        <f>IF(F128&gt;$B$14, 0, IF(LOWER(LEFT($B$2,1))="s", ($B$3-($F128-1)*($B$3/ROUND($B$4*12,0)+$B$10))*($B$5/12),IF(F128=$B$14, ($B$3-((F128-1)*($B$10+$B$6)-SUM(G$3:G127)))*($B$5/12), ABS(IPMT($B$5/12,$F128,NPER($B$5/12,-ABS($B$6)-$B$10,$B$3,0),$B$3)))))</f>
        <v>6356.7572115384619</v>
      </c>
      <c r="H128" s="16">
        <f t="shared" si="3"/>
        <v>7143.085336538461</v>
      </c>
      <c r="I128" s="15">
        <f t="shared" si="4"/>
        <v>786.32812499999909</v>
      </c>
      <c r="J128" s="16">
        <f>IF(H128=0, 0, ROUND(SUM(H$3:H128)-SUM(G$3:G128),0))</f>
        <v>49539</v>
      </c>
      <c r="K128" s="16" t="str">
        <f t="shared" si="5"/>
        <v/>
      </c>
      <c r="L128" s="15">
        <f>IF($F128&gt;=$B$14, 0, IF(LOWER(LEFT($B$2,1))="s", ($B$3-($F128)*($B$3/ROUND($B$4*12,0)+$B$10)),$B$3-($F128*$B$6-SUM(G$3:G128)+$B$10*$F128)))</f>
        <v>1379730.7692307692</v>
      </c>
      <c r="M128" s="15">
        <f>IF(F128&gt;=ROUND($B$4*12,0),0,IF(LOWER(LEFT($B$2,1))="s", ($B$3-($B$3/ROUND($B$4*12,0))*F128),$B$3-(F128*$B$6-SUM(H$3:H128))))</f>
        <v>1552980.7692307692</v>
      </c>
    </row>
    <row r="129" spans="1:13" x14ac:dyDescent="0.6">
      <c r="A129" s="4"/>
      <c r="B129" s="4"/>
      <c r="C129" s="4"/>
      <c r="D129" s="4"/>
      <c r="E129" s="23"/>
      <c r="F129" s="10">
        <v>127</v>
      </c>
      <c r="G129" s="11">
        <f>IF(F129&gt;$B$14, 0, IF(LOWER(LEFT($B$2,1))="s", ($B$3-($F129-1)*($B$3/ROUND($B$4*12,0)+$B$10))*($B$5/12),IF(F129=$B$14, ($B$3-((F129-1)*($B$10+$B$6)-SUM(G$3:G128)))*($B$5/12), ABS(IPMT($B$5/12,$F129,NPER($B$5/12,-ABS($B$6)-$B$10,$B$3,0),$B$3)))))</f>
        <v>6312.268269230769</v>
      </c>
      <c r="H129" s="12">
        <f t="shared" si="3"/>
        <v>7104.8870192307695</v>
      </c>
      <c r="I129" s="11">
        <f t="shared" si="4"/>
        <v>792.61875000000055</v>
      </c>
      <c r="J129" s="12">
        <f>IF(H129=0, 0, ROUND(SUM(H$3:H129)-SUM(G$3:G129),0))</f>
        <v>50331</v>
      </c>
      <c r="K129" s="12" t="str">
        <f t="shared" si="5"/>
        <v/>
      </c>
      <c r="L129" s="11">
        <f>IF($F129&gt;=$B$14, 0, IF(LOWER(LEFT($B$2,1))="s", ($B$3-($F129)*($B$3/ROUND($B$4*12,0)+$B$10)),$B$3-($F129*$B$6-SUM(G$3:G129)+$B$10*$F129)))</f>
        <v>1370006.4102564103</v>
      </c>
      <c r="M129" s="11">
        <f>IF(F129&gt;=ROUND($B$4*12,0),0,IF(LOWER(LEFT($B$2,1))="s", ($B$3-($B$3/ROUND($B$4*12,0))*F129),$B$3-(F129*$B$6-SUM(H$3:H129))))</f>
        <v>1544631.4102564103</v>
      </c>
    </row>
    <row r="130" spans="1:13" x14ac:dyDescent="0.6">
      <c r="A130" s="4"/>
      <c r="B130" s="4"/>
      <c r="C130" s="4"/>
      <c r="D130" s="4"/>
      <c r="E130" s="23"/>
      <c r="F130" s="14">
        <v>128</v>
      </c>
      <c r="G130" s="15">
        <f>IF(F130&gt;$B$14, 0, IF(LOWER(LEFT($B$2,1))="s", ($B$3-($F130-1)*($B$3/ROUND($B$4*12,0)+$B$10))*($B$5/12),IF(F130=$B$14, ($B$3-((F130-1)*($B$10+$B$6)-SUM(G$3:G129)))*($B$5/12), ABS(IPMT($B$5/12,$F130,NPER($B$5/12,-ABS($B$6)-$B$10,$B$3,0),$B$3)))))</f>
        <v>6267.779326923077</v>
      </c>
      <c r="H130" s="16">
        <f t="shared" si="3"/>
        <v>7066.6887019230771</v>
      </c>
      <c r="I130" s="15">
        <f t="shared" si="4"/>
        <v>798.90937500000018</v>
      </c>
      <c r="J130" s="16">
        <f>IF(H130=0, 0, ROUND(SUM(H$3:H130)-SUM(G$3:G130),0))</f>
        <v>51130</v>
      </c>
      <c r="K130" s="16" t="str">
        <f t="shared" si="5"/>
        <v/>
      </c>
      <c r="L130" s="15">
        <f>IF($F130&gt;=$B$14, 0, IF(LOWER(LEFT($B$2,1))="s", ($B$3-($F130)*($B$3/ROUND($B$4*12,0)+$B$10)),$B$3-($F130*$B$6-SUM(G$3:G130)+$B$10*$F130)))</f>
        <v>1360282.0512820513</v>
      </c>
      <c r="M130" s="15">
        <f>IF(F130&gt;=ROUND($B$4*12,0),0,IF(LOWER(LEFT($B$2,1))="s", ($B$3-($B$3/ROUND($B$4*12,0))*F130),$B$3-(F130*$B$6-SUM(H$3:H130))))</f>
        <v>1536282.0512820513</v>
      </c>
    </row>
    <row r="131" spans="1:13" x14ac:dyDescent="0.6">
      <c r="A131" s="4"/>
      <c r="B131" s="4"/>
      <c r="C131" s="4"/>
      <c r="D131" s="4"/>
      <c r="E131" s="23"/>
      <c r="F131" s="10">
        <v>129</v>
      </c>
      <c r="G131" s="11">
        <f>IF(F131&gt;$B$14, 0, IF(LOWER(LEFT($B$2,1))="s", ($B$3-($F131-1)*($B$3/ROUND($B$4*12,0)+$B$10))*($B$5/12),IF(F131=$B$14, ($B$3-((F131-1)*($B$10+$B$6)-SUM(G$3:G130)))*($B$5/12), ABS(IPMT($B$5/12,$F131,NPER($B$5/12,-ABS($B$6)-$B$10,$B$3,0),$B$3)))))</f>
        <v>6223.2903846153849</v>
      </c>
      <c r="H131" s="12">
        <f t="shared" ref="H131:H194" si="6">IF(OR($B$3&lt;=0,F131&gt;ROUND($B$4*12,0)),0,IF(LOWER(LEFT($B$2,1))="s", ($B$3-(F131-1)*($B$3/ROUND($B$4*12,0)))*($B$5/12),ABS(IPMT($B$5/12,F131,ROUND(NPER($B$5/12,-ABS($B$6),$B$3,0),0),$B$3))))</f>
        <v>7028.4903846153848</v>
      </c>
      <c r="I131" s="11">
        <f t="shared" ref="I131:I194" si="7">H131-G131</f>
        <v>805.19999999999982</v>
      </c>
      <c r="J131" s="12">
        <f>IF(H131=0, 0, ROUND(SUM(H$3:H131)-SUM(G$3:G131),0))</f>
        <v>51935</v>
      </c>
      <c r="K131" s="12" t="str">
        <f t="shared" si="5"/>
        <v/>
      </c>
      <c r="L131" s="11">
        <f>IF($F131&gt;=$B$14, 0, IF(LOWER(LEFT($B$2,1))="s", ($B$3-($F131)*($B$3/ROUND($B$4*12,0)+$B$10)),$B$3-($F131*$B$6-SUM(G$3:G131)+$B$10*$F131)))</f>
        <v>1350557.6923076923</v>
      </c>
      <c r="M131" s="11">
        <f>IF(F131&gt;=ROUND($B$4*12,0),0,IF(LOWER(LEFT($B$2,1))="s", ($B$3-($B$3/ROUND($B$4*12,0))*F131),$B$3-(F131*$B$6-SUM(H$3:H131))))</f>
        <v>1527932.6923076923</v>
      </c>
    </row>
    <row r="132" spans="1:13" x14ac:dyDescent="0.6">
      <c r="A132" s="4"/>
      <c r="B132" s="4"/>
      <c r="C132" s="4"/>
      <c r="D132" s="4"/>
      <c r="E132" s="23"/>
      <c r="F132" s="14">
        <v>130</v>
      </c>
      <c r="G132" s="15">
        <f>IF(F132&gt;$B$14, 0, IF(LOWER(LEFT($B$2,1))="s", ($B$3-($F132-1)*($B$3/ROUND($B$4*12,0)+$B$10))*($B$5/12),IF(F132=$B$14, ($B$3-((F132-1)*($B$10+$B$6)-SUM(G$3:G131)))*($B$5/12), ABS(IPMT($B$5/12,$F132,NPER($B$5/12,-ABS($B$6)-$B$10,$B$3,0),$B$3)))))</f>
        <v>6178.801442307692</v>
      </c>
      <c r="H132" s="16">
        <f t="shared" si="6"/>
        <v>6990.2920673076924</v>
      </c>
      <c r="I132" s="15">
        <f t="shared" si="7"/>
        <v>811.49062500000036</v>
      </c>
      <c r="J132" s="16">
        <f>IF(H132=0, 0, ROUND(SUM(H$3:H132)-SUM(G$3:G132),0))</f>
        <v>52747</v>
      </c>
      <c r="K132" s="16" t="str">
        <f t="shared" ref="K132:K195" si="8">IF(F132&gt;$B$14,"",IF(ROUNDDOWN(M131-L131,-(LEN(TEXT(INT(ABS(M131-L131)),0))-2)) = ROUNDDOWN(M132-L132,-(LEN(TEXT(INT(ABS(M132-L132)),0))-2)), "", ROUNDDOWN(M132-L132,-(LEN(TEXT(INT(ABS(M132-L132)),0))-2))))</f>
        <v/>
      </c>
      <c r="L132" s="15">
        <f>IF($F132&gt;=$B$14, 0, IF(LOWER(LEFT($B$2,1))="s", ($B$3-($F132)*($B$3/ROUND($B$4*12,0)+$B$10)),$B$3-($F132*$B$6-SUM(G$3:G132)+$B$10*$F132)))</f>
        <v>1340833.3333333333</v>
      </c>
      <c r="M132" s="15">
        <f>IF(F132&gt;=ROUND($B$4*12,0),0,IF(LOWER(LEFT($B$2,1))="s", ($B$3-($B$3/ROUND($B$4*12,0))*F132),$B$3-(F132*$B$6-SUM(H$3:H132))))</f>
        <v>1519583.3333333333</v>
      </c>
    </row>
    <row r="133" spans="1:13" x14ac:dyDescent="0.6">
      <c r="A133" s="4"/>
      <c r="B133" s="4"/>
      <c r="C133" s="4"/>
      <c r="D133" s="4"/>
      <c r="E133" s="23"/>
      <c r="F133" s="10">
        <v>131</v>
      </c>
      <c r="G133" s="11">
        <f>IF(F133&gt;$B$14, 0, IF(LOWER(LEFT($B$2,1))="s", ($B$3-($F133-1)*($B$3/ROUND($B$4*12,0)+$B$10))*($B$5/12),IF(F133=$B$14, ($B$3-((F133-1)*($B$10+$B$6)-SUM(G$3:G132)))*($B$5/12), ABS(IPMT($B$5/12,$F133,NPER($B$5/12,-ABS($B$6)-$B$10,$B$3,0),$B$3)))))</f>
        <v>6134.3125</v>
      </c>
      <c r="H133" s="12">
        <f t="shared" si="6"/>
        <v>6952.09375</v>
      </c>
      <c r="I133" s="11">
        <f t="shared" si="7"/>
        <v>817.78125</v>
      </c>
      <c r="J133" s="12">
        <f>IF(H133=0, 0, ROUND(SUM(H$3:H133)-SUM(G$3:G133),0))</f>
        <v>53565</v>
      </c>
      <c r="K133" s="12">
        <f t="shared" si="8"/>
        <v>180000</v>
      </c>
      <c r="L133" s="11">
        <f>IF($F133&gt;=$B$14, 0, IF(LOWER(LEFT($B$2,1))="s", ($B$3-($F133)*($B$3/ROUND($B$4*12,0)+$B$10)),$B$3-($F133*$B$6-SUM(G$3:G133)+$B$10*$F133)))</f>
        <v>1331108.9743589743</v>
      </c>
      <c r="M133" s="11">
        <f>IF(F133&gt;=ROUND($B$4*12,0),0,IF(LOWER(LEFT($B$2,1))="s", ($B$3-($B$3/ROUND($B$4*12,0))*F133),$B$3-(F133*$B$6-SUM(H$3:H133))))</f>
        <v>1511233.9743589743</v>
      </c>
    </row>
    <row r="134" spans="1:13" x14ac:dyDescent="0.6">
      <c r="A134" s="4"/>
      <c r="B134" s="4"/>
      <c r="C134" s="4"/>
      <c r="D134" s="4"/>
      <c r="E134" s="23" t="s">
        <v>34</v>
      </c>
      <c r="F134" s="14">
        <v>132</v>
      </c>
      <c r="G134" s="15">
        <f>IF(F134&gt;$B$14, 0, IF(LOWER(LEFT($B$2,1))="s", ($B$3-($F134-1)*($B$3/ROUND($B$4*12,0)+$B$10))*($B$5/12),IF(F134=$B$14, ($B$3-((F134-1)*($B$10+$B$6)-SUM(G$3:G133)))*($B$5/12), ABS(IPMT($B$5/12,$F134,NPER($B$5/12,-ABS($B$6)-$B$10,$B$3,0),$B$3)))))</f>
        <v>6089.8235576923071</v>
      </c>
      <c r="H134" s="16">
        <f t="shared" si="6"/>
        <v>6913.8954326923076</v>
      </c>
      <c r="I134" s="15">
        <f t="shared" si="7"/>
        <v>824.07187500000055</v>
      </c>
      <c r="J134" s="16">
        <f>IF(H134=0, 0, ROUND(SUM(H$3:H134)-SUM(G$3:G134),0))</f>
        <v>54389</v>
      </c>
      <c r="K134" s="16" t="str">
        <f t="shared" si="8"/>
        <v/>
      </c>
      <c r="L134" s="15">
        <f>IF($F134&gt;=$B$14, 0, IF(LOWER(LEFT($B$2,1))="s", ($B$3-($F134)*($B$3/ROUND($B$4*12,0)+$B$10)),$B$3-($F134*$B$6-SUM(G$3:G134)+$B$10*$F134)))</f>
        <v>1321384.6153846153</v>
      </c>
      <c r="M134" s="15">
        <f>IF(F134&gt;=ROUND($B$4*12,0),0,IF(LOWER(LEFT($B$2,1))="s", ($B$3-($B$3/ROUND($B$4*12,0))*F134),$B$3-(F134*$B$6-SUM(H$3:H134))))</f>
        <v>1502884.6153846153</v>
      </c>
    </row>
    <row r="135" spans="1:13" x14ac:dyDescent="0.6">
      <c r="A135" s="4"/>
      <c r="B135" s="4"/>
      <c r="C135" s="4"/>
      <c r="D135" s="4"/>
      <c r="E135" s="23"/>
      <c r="F135" s="10">
        <v>133</v>
      </c>
      <c r="G135" s="11">
        <f>IF(F135&gt;$B$14, 0, IF(LOWER(LEFT($B$2,1))="s", ($B$3-($F135-1)*($B$3/ROUND($B$4*12,0)+$B$10))*($B$5/12),IF(F135=$B$14, ($B$3-((F135-1)*($B$10+$B$6)-SUM(G$3:G134)))*($B$5/12), ABS(IPMT($B$5/12,$F135,NPER($B$5/12,-ABS($B$6)-$B$10,$B$3,0),$B$3)))))</f>
        <v>6045.3346153846151</v>
      </c>
      <c r="H135" s="12">
        <f t="shared" si="6"/>
        <v>6875.6971153846152</v>
      </c>
      <c r="I135" s="11">
        <f t="shared" si="7"/>
        <v>830.36250000000018</v>
      </c>
      <c r="J135" s="12">
        <f>IF(H135=0, 0, ROUND(SUM(H$3:H135)-SUM(G$3:G135),0))</f>
        <v>55219</v>
      </c>
      <c r="K135" s="12" t="str">
        <f t="shared" si="8"/>
        <v/>
      </c>
      <c r="L135" s="11">
        <f>IF($F135&gt;=$B$14, 0, IF(LOWER(LEFT($B$2,1))="s", ($B$3-($F135)*($B$3/ROUND($B$4*12,0)+$B$10)),$B$3-($F135*$B$6-SUM(G$3:G135)+$B$10*$F135)))</f>
        <v>1311660.2564102565</v>
      </c>
      <c r="M135" s="11">
        <f>IF(F135&gt;=ROUND($B$4*12,0),0,IF(LOWER(LEFT($B$2,1))="s", ($B$3-($B$3/ROUND($B$4*12,0))*F135),$B$3-(F135*$B$6-SUM(H$3:H135))))</f>
        <v>1494535.2564102565</v>
      </c>
    </row>
    <row r="136" spans="1:13" x14ac:dyDescent="0.6">
      <c r="A136" s="4"/>
      <c r="B136" s="4"/>
      <c r="C136" s="4"/>
      <c r="D136" s="4"/>
      <c r="E136" s="23"/>
      <c r="F136" s="14">
        <v>134</v>
      </c>
      <c r="G136" s="15">
        <f>IF(F136&gt;$B$14, 0, IF(LOWER(LEFT($B$2,1))="s", ($B$3-($F136-1)*($B$3/ROUND($B$4*12,0)+$B$10))*($B$5/12),IF(F136=$B$14, ($B$3-((F136-1)*($B$10+$B$6)-SUM(G$3:G135)))*($B$5/12), ABS(IPMT($B$5/12,$F136,NPER($B$5/12,-ABS($B$6)-$B$10,$B$3,0),$B$3)))))</f>
        <v>6000.845673076924</v>
      </c>
      <c r="H136" s="16">
        <f t="shared" si="6"/>
        <v>6837.4987980769238</v>
      </c>
      <c r="I136" s="15">
        <f t="shared" si="7"/>
        <v>836.65312499999982</v>
      </c>
      <c r="J136" s="16">
        <f>IF(H136=0, 0, ROUND(SUM(H$3:H136)-SUM(G$3:G136),0))</f>
        <v>56056</v>
      </c>
      <c r="K136" s="16" t="str">
        <f t="shared" si="8"/>
        <v/>
      </c>
      <c r="L136" s="15">
        <f>IF($F136&gt;=$B$14, 0, IF(LOWER(LEFT($B$2,1))="s", ($B$3-($F136)*($B$3/ROUND($B$4*12,0)+$B$10)),$B$3-($F136*$B$6-SUM(G$3:G136)+$B$10*$F136)))</f>
        <v>1301935.8974358975</v>
      </c>
      <c r="M136" s="15">
        <f>IF(F136&gt;=ROUND($B$4*12,0),0,IF(LOWER(LEFT($B$2,1))="s", ($B$3-($B$3/ROUND($B$4*12,0))*F136),$B$3-(F136*$B$6-SUM(H$3:H136))))</f>
        <v>1486185.8974358975</v>
      </c>
    </row>
    <row r="137" spans="1:13" x14ac:dyDescent="0.6">
      <c r="A137" s="4"/>
      <c r="B137" s="4"/>
      <c r="C137" s="4"/>
      <c r="D137" s="4"/>
      <c r="E137" s="23"/>
      <c r="F137" s="10">
        <v>135</v>
      </c>
      <c r="G137" s="11">
        <f>IF(F137&gt;$B$14, 0, IF(LOWER(LEFT($B$2,1))="s", ($B$3-($F137-1)*($B$3/ROUND($B$4*12,0)+$B$10))*($B$5/12),IF(F137=$B$14, ($B$3-((F137-1)*($B$10+$B$6)-SUM(G$3:G136)))*($B$5/12), ABS(IPMT($B$5/12,$F137,NPER($B$5/12,-ABS($B$6)-$B$10,$B$3,0),$B$3)))))</f>
        <v>5956.356730769231</v>
      </c>
      <c r="H137" s="12">
        <f t="shared" si="6"/>
        <v>6799.3004807692314</v>
      </c>
      <c r="I137" s="11">
        <f t="shared" si="7"/>
        <v>842.94375000000036</v>
      </c>
      <c r="J137" s="12">
        <f>IF(H137=0, 0, ROUND(SUM(H$3:H137)-SUM(G$3:G137),0))</f>
        <v>56899</v>
      </c>
      <c r="K137" s="12" t="str">
        <f t="shared" si="8"/>
        <v/>
      </c>
      <c r="L137" s="11">
        <f>IF($F137&gt;=$B$14, 0, IF(LOWER(LEFT($B$2,1))="s", ($B$3-($F137)*($B$3/ROUND($B$4*12,0)+$B$10)),$B$3-($F137*$B$6-SUM(G$3:G137)+$B$10*$F137)))</f>
        <v>1292211.5384615385</v>
      </c>
      <c r="M137" s="11">
        <f>IF(F137&gt;=ROUND($B$4*12,0),0,IF(LOWER(LEFT($B$2,1))="s", ($B$3-($B$3/ROUND($B$4*12,0))*F137),$B$3-(F137*$B$6-SUM(H$3:H137))))</f>
        <v>1477836.5384615385</v>
      </c>
    </row>
    <row r="138" spans="1:13" x14ac:dyDescent="0.6">
      <c r="A138" s="4"/>
      <c r="B138" s="4"/>
      <c r="C138" s="4"/>
      <c r="D138" s="4"/>
      <c r="E138" s="23"/>
      <c r="F138" s="14">
        <v>136</v>
      </c>
      <c r="G138" s="15">
        <f>IF(F138&gt;$B$14, 0, IF(LOWER(LEFT($B$2,1))="s", ($B$3-($F138-1)*($B$3/ROUND($B$4*12,0)+$B$10))*($B$5/12),IF(F138=$B$14, ($B$3-((F138-1)*($B$10+$B$6)-SUM(G$3:G137)))*($B$5/12), ABS(IPMT($B$5/12,$F138,NPER($B$5/12,-ABS($B$6)-$B$10,$B$3,0),$B$3)))))</f>
        <v>5911.867788461539</v>
      </c>
      <c r="H138" s="16">
        <f t="shared" si="6"/>
        <v>6761.102163461539</v>
      </c>
      <c r="I138" s="15">
        <f t="shared" si="7"/>
        <v>849.234375</v>
      </c>
      <c r="J138" s="16">
        <f>IF(H138=0, 0, ROUND(SUM(H$3:H138)-SUM(G$3:G138),0))</f>
        <v>57748</v>
      </c>
      <c r="K138" s="16" t="str">
        <f t="shared" si="8"/>
        <v/>
      </c>
      <c r="L138" s="15">
        <f>IF($F138&gt;=$B$14, 0, IF(LOWER(LEFT($B$2,1))="s", ($B$3-($F138)*($B$3/ROUND($B$4*12,0)+$B$10)),$B$3-($F138*$B$6-SUM(G$3:G138)+$B$10*$F138)))</f>
        <v>1282487.1794871795</v>
      </c>
      <c r="M138" s="15">
        <f>IF(F138&gt;=ROUND($B$4*12,0),0,IF(LOWER(LEFT($B$2,1))="s", ($B$3-($B$3/ROUND($B$4*12,0))*F138),$B$3-(F138*$B$6-SUM(H$3:H138))))</f>
        <v>1469487.1794871795</v>
      </c>
    </row>
    <row r="139" spans="1:13" x14ac:dyDescent="0.6">
      <c r="A139" s="4"/>
      <c r="B139" s="4"/>
      <c r="C139" s="4"/>
      <c r="D139" s="4"/>
      <c r="E139" s="23"/>
      <c r="F139" s="10">
        <v>137</v>
      </c>
      <c r="G139" s="11">
        <f>IF(F139&gt;$B$14, 0, IF(LOWER(LEFT($B$2,1))="s", ($B$3-($F139-1)*($B$3/ROUND($B$4*12,0)+$B$10))*($B$5/12),IF(F139=$B$14, ($B$3-((F139-1)*($B$10+$B$6)-SUM(G$3:G138)))*($B$5/12), ABS(IPMT($B$5/12,$F139,NPER($B$5/12,-ABS($B$6)-$B$10,$B$3,0),$B$3)))))</f>
        <v>5867.3788461538461</v>
      </c>
      <c r="H139" s="12">
        <f t="shared" si="6"/>
        <v>6722.9038461538466</v>
      </c>
      <c r="I139" s="11">
        <f t="shared" si="7"/>
        <v>855.52500000000055</v>
      </c>
      <c r="J139" s="12">
        <f>IF(H139=0, 0, ROUND(SUM(H$3:H139)-SUM(G$3:G139),0))</f>
        <v>58603</v>
      </c>
      <c r="K139" s="12" t="str">
        <f t="shared" si="8"/>
        <v/>
      </c>
      <c r="L139" s="11">
        <f>IF($F139&gt;=$B$14, 0, IF(LOWER(LEFT($B$2,1))="s", ($B$3-($F139)*($B$3/ROUND($B$4*12,0)+$B$10)),$B$3-($F139*$B$6-SUM(G$3:G139)+$B$10*$F139)))</f>
        <v>1272762.8205128205</v>
      </c>
      <c r="M139" s="11">
        <f>IF(F139&gt;=ROUND($B$4*12,0),0,IF(LOWER(LEFT($B$2,1))="s", ($B$3-($B$3/ROUND($B$4*12,0))*F139),$B$3-(F139*$B$6-SUM(H$3:H139))))</f>
        <v>1461137.8205128205</v>
      </c>
    </row>
    <row r="140" spans="1:13" x14ac:dyDescent="0.6">
      <c r="A140" s="4"/>
      <c r="B140" s="4"/>
      <c r="C140" s="4"/>
      <c r="D140" s="4"/>
      <c r="E140" s="23"/>
      <c r="F140" s="14">
        <v>138</v>
      </c>
      <c r="G140" s="15">
        <f>IF(F140&gt;$B$14, 0, IF(LOWER(LEFT($B$2,1))="s", ($B$3-($F140-1)*($B$3/ROUND($B$4*12,0)+$B$10))*($B$5/12),IF(F140=$B$14, ($B$3-((F140-1)*($B$10+$B$6)-SUM(G$3:G139)))*($B$5/12), ABS(IPMT($B$5/12,$F140,NPER($B$5/12,-ABS($B$6)-$B$10,$B$3,0),$B$3)))))</f>
        <v>5822.8899038461541</v>
      </c>
      <c r="H140" s="16">
        <f t="shared" si="6"/>
        <v>6684.7055288461543</v>
      </c>
      <c r="I140" s="15">
        <f t="shared" si="7"/>
        <v>861.81562500000018</v>
      </c>
      <c r="J140" s="16">
        <f>IF(H140=0, 0, ROUND(SUM(H$3:H140)-SUM(G$3:G140),0))</f>
        <v>59465</v>
      </c>
      <c r="K140" s="16" t="str">
        <f t="shared" si="8"/>
        <v/>
      </c>
      <c r="L140" s="15">
        <f>IF($F140&gt;=$B$14, 0, IF(LOWER(LEFT($B$2,1))="s", ($B$3-($F140)*($B$3/ROUND($B$4*12,0)+$B$10)),$B$3-($F140*$B$6-SUM(G$3:G140)+$B$10*$F140)))</f>
        <v>1263038.4615384615</v>
      </c>
      <c r="M140" s="15">
        <f>IF(F140&gt;=ROUND($B$4*12,0),0,IF(LOWER(LEFT($B$2,1))="s", ($B$3-($B$3/ROUND($B$4*12,0))*F140),$B$3-(F140*$B$6-SUM(H$3:H140))))</f>
        <v>1452788.4615384615</v>
      </c>
    </row>
    <row r="141" spans="1:13" x14ac:dyDescent="0.6">
      <c r="A141" s="4"/>
      <c r="B141" s="4"/>
      <c r="C141" s="4"/>
      <c r="D141" s="4"/>
      <c r="E141" s="23"/>
      <c r="F141" s="10">
        <v>139</v>
      </c>
      <c r="G141" s="11">
        <f>IF(F141&gt;$B$14, 0, IF(LOWER(LEFT($B$2,1))="s", ($B$3-($F141-1)*($B$3/ROUND($B$4*12,0)+$B$10))*($B$5/12),IF(F141=$B$14, ($B$3-((F141-1)*($B$10+$B$6)-SUM(G$3:G140)))*($B$5/12), ABS(IPMT($B$5/12,$F141,NPER($B$5/12,-ABS($B$6)-$B$10,$B$3,0),$B$3)))))</f>
        <v>5778.4009615384612</v>
      </c>
      <c r="H141" s="12">
        <f t="shared" si="6"/>
        <v>6646.5072115384619</v>
      </c>
      <c r="I141" s="11">
        <f t="shared" si="7"/>
        <v>868.10625000000073</v>
      </c>
      <c r="J141" s="12">
        <f>IF(H141=0, 0, ROUND(SUM(H$3:H141)-SUM(G$3:G141),0))</f>
        <v>60333</v>
      </c>
      <c r="K141" s="12">
        <f t="shared" si="8"/>
        <v>190000</v>
      </c>
      <c r="L141" s="11">
        <f>IF($F141&gt;=$B$14, 0, IF(LOWER(LEFT($B$2,1))="s", ($B$3-($F141)*($B$3/ROUND($B$4*12,0)+$B$10)),$B$3-($F141*$B$6-SUM(G$3:G141)+$B$10*$F141)))</f>
        <v>1253314.1025641025</v>
      </c>
      <c r="M141" s="11">
        <f>IF(F141&gt;=ROUND($B$4*12,0),0,IF(LOWER(LEFT($B$2,1))="s", ($B$3-($B$3/ROUND($B$4*12,0))*F141),$B$3-(F141*$B$6-SUM(H$3:H141))))</f>
        <v>1444439.1025641025</v>
      </c>
    </row>
    <row r="142" spans="1:13" x14ac:dyDescent="0.6">
      <c r="A142" s="4"/>
      <c r="B142" s="4"/>
      <c r="C142" s="4"/>
      <c r="D142" s="4"/>
      <c r="E142" s="23"/>
      <c r="F142" s="14">
        <v>140</v>
      </c>
      <c r="G142" s="15">
        <f>IF(F142&gt;$B$14, 0, IF(LOWER(LEFT($B$2,1))="s", ($B$3-($F142-1)*($B$3/ROUND($B$4*12,0)+$B$10))*($B$5/12),IF(F142=$B$14, ($B$3-((F142-1)*($B$10+$B$6)-SUM(G$3:G141)))*($B$5/12), ABS(IPMT($B$5/12,$F142,NPER($B$5/12,-ABS($B$6)-$B$10,$B$3,0),$B$3)))))</f>
        <v>5733.9120192307691</v>
      </c>
      <c r="H142" s="16">
        <f t="shared" si="6"/>
        <v>6608.3088942307695</v>
      </c>
      <c r="I142" s="15">
        <f t="shared" si="7"/>
        <v>874.39687500000036</v>
      </c>
      <c r="J142" s="16">
        <f>IF(H142=0, 0, ROUND(SUM(H$3:H142)-SUM(G$3:G142),0))</f>
        <v>61208</v>
      </c>
      <c r="K142" s="16" t="str">
        <f t="shared" si="8"/>
        <v/>
      </c>
      <c r="L142" s="15">
        <f>IF($F142&gt;=$B$14, 0, IF(LOWER(LEFT($B$2,1))="s", ($B$3-($F142)*($B$3/ROUND($B$4*12,0)+$B$10)),$B$3-($F142*$B$6-SUM(G$3:G142)+$B$10*$F142)))</f>
        <v>1243589.7435897435</v>
      </c>
      <c r="M142" s="15">
        <f>IF(F142&gt;=ROUND($B$4*12,0),0,IF(LOWER(LEFT($B$2,1))="s", ($B$3-($B$3/ROUND($B$4*12,0))*F142),$B$3-(F142*$B$6-SUM(H$3:H142))))</f>
        <v>1436089.7435897435</v>
      </c>
    </row>
    <row r="143" spans="1:13" x14ac:dyDescent="0.6">
      <c r="A143" s="4"/>
      <c r="B143" s="4"/>
      <c r="C143" s="4"/>
      <c r="D143" s="4"/>
      <c r="E143" s="23"/>
      <c r="F143" s="10">
        <v>141</v>
      </c>
      <c r="G143" s="11">
        <f>IF(F143&gt;$B$14, 0, IF(LOWER(LEFT($B$2,1))="s", ($B$3-($F143-1)*($B$3/ROUND($B$4*12,0)+$B$10))*($B$5/12),IF(F143=$B$14, ($B$3-((F143-1)*($B$10+$B$6)-SUM(G$3:G142)))*($B$5/12), ABS(IPMT($B$5/12,$F143,NPER($B$5/12,-ABS($B$6)-$B$10,$B$3,0),$B$3)))))</f>
        <v>5689.4230769230762</v>
      </c>
      <c r="H143" s="12">
        <f t="shared" si="6"/>
        <v>6570.1105769230762</v>
      </c>
      <c r="I143" s="11">
        <f t="shared" si="7"/>
        <v>880.6875</v>
      </c>
      <c r="J143" s="12">
        <f>IF(H143=0, 0, ROUND(SUM(H$3:H143)-SUM(G$3:G143),0))</f>
        <v>62088</v>
      </c>
      <c r="K143" s="12" t="str">
        <f t="shared" si="8"/>
        <v/>
      </c>
      <c r="L143" s="11">
        <f>IF($F143&gt;=$B$14, 0, IF(LOWER(LEFT($B$2,1))="s", ($B$3-($F143)*($B$3/ROUND($B$4*12,0)+$B$10)),$B$3-($F143*$B$6-SUM(G$3:G143)+$B$10*$F143)))</f>
        <v>1233865.3846153845</v>
      </c>
      <c r="M143" s="11">
        <f>IF(F143&gt;=ROUND($B$4*12,0),0,IF(LOWER(LEFT($B$2,1))="s", ($B$3-($B$3/ROUND($B$4*12,0))*F143),$B$3-(F143*$B$6-SUM(H$3:H143))))</f>
        <v>1427740.3846153845</v>
      </c>
    </row>
    <row r="144" spans="1:13" x14ac:dyDescent="0.6">
      <c r="A144" s="4"/>
      <c r="B144" s="4"/>
      <c r="C144" s="4"/>
      <c r="D144" s="4"/>
      <c r="E144" s="23"/>
      <c r="F144" s="14">
        <v>142</v>
      </c>
      <c r="G144" s="15">
        <f>IF(F144&gt;$B$14, 0, IF(LOWER(LEFT($B$2,1))="s", ($B$3-($F144-1)*($B$3/ROUND($B$4*12,0)+$B$10))*($B$5/12),IF(F144=$B$14, ($B$3-((F144-1)*($B$10+$B$6)-SUM(G$3:G143)))*($B$5/12), ABS(IPMT($B$5/12,$F144,NPER($B$5/12,-ABS($B$6)-$B$10,$B$3,0),$B$3)))))</f>
        <v>5644.9341346153842</v>
      </c>
      <c r="H144" s="16">
        <f t="shared" si="6"/>
        <v>6531.9122596153838</v>
      </c>
      <c r="I144" s="15">
        <f t="shared" si="7"/>
        <v>886.97812499999964</v>
      </c>
      <c r="J144" s="16">
        <f>IF(H144=0, 0, ROUND(SUM(H$3:H144)-SUM(G$3:G144),0))</f>
        <v>62975</v>
      </c>
      <c r="K144" s="16" t="str">
        <f t="shared" si="8"/>
        <v/>
      </c>
      <c r="L144" s="15">
        <f>IF($F144&gt;=$B$14, 0, IF(LOWER(LEFT($B$2,1))="s", ($B$3-($F144)*($B$3/ROUND($B$4*12,0)+$B$10)),$B$3-($F144*$B$6-SUM(G$3:G144)+$B$10*$F144)))</f>
        <v>1224141.0256410255</v>
      </c>
      <c r="M144" s="15">
        <f>IF(F144&gt;=ROUND($B$4*12,0),0,IF(LOWER(LEFT($B$2,1))="s", ($B$3-($B$3/ROUND($B$4*12,0))*F144),$B$3-(F144*$B$6-SUM(H$3:H144))))</f>
        <v>1419391.0256410255</v>
      </c>
    </row>
    <row r="145" spans="1:13" x14ac:dyDescent="0.6">
      <c r="A145" s="4"/>
      <c r="B145" s="4"/>
      <c r="C145" s="4"/>
      <c r="D145" s="4"/>
      <c r="E145" s="23"/>
      <c r="F145" s="10">
        <v>143</v>
      </c>
      <c r="G145" s="11">
        <f>IF(F145&gt;$B$14, 0, IF(LOWER(LEFT($B$2,1))="s", ($B$3-($F145-1)*($B$3/ROUND($B$4*12,0)+$B$10))*($B$5/12),IF(F145=$B$14, ($B$3-((F145-1)*($B$10+$B$6)-SUM(G$3:G144)))*($B$5/12), ABS(IPMT($B$5/12,$F145,NPER($B$5/12,-ABS($B$6)-$B$10,$B$3,0),$B$3)))))</f>
        <v>5600.4451923076922</v>
      </c>
      <c r="H145" s="12">
        <f t="shared" si="6"/>
        <v>6493.7139423076915</v>
      </c>
      <c r="I145" s="11">
        <f t="shared" si="7"/>
        <v>893.26874999999927</v>
      </c>
      <c r="J145" s="12">
        <f>IF(H145=0, 0, ROUND(SUM(H$3:H145)-SUM(G$3:G145),0))</f>
        <v>63869</v>
      </c>
      <c r="K145" s="12" t="str">
        <f t="shared" si="8"/>
        <v/>
      </c>
      <c r="L145" s="11">
        <f>IF($F145&gt;=$B$14, 0, IF(LOWER(LEFT($B$2,1))="s", ($B$3-($F145)*($B$3/ROUND($B$4*12,0)+$B$10)),$B$3-($F145*$B$6-SUM(G$3:G145)+$B$10*$F145)))</f>
        <v>1214416.6666666667</v>
      </c>
      <c r="M145" s="11">
        <f>IF(F145&gt;=ROUND($B$4*12,0),0,IF(LOWER(LEFT($B$2,1))="s", ($B$3-($B$3/ROUND($B$4*12,0))*F145),$B$3-(F145*$B$6-SUM(H$3:H145))))</f>
        <v>1411041.6666666667</v>
      </c>
    </row>
    <row r="146" spans="1:13" x14ac:dyDescent="0.6">
      <c r="A146" s="4"/>
      <c r="B146" s="4"/>
      <c r="C146" s="4"/>
      <c r="D146" s="4"/>
      <c r="E146" s="23" t="s">
        <v>35</v>
      </c>
      <c r="F146" s="14">
        <v>144</v>
      </c>
      <c r="G146" s="15">
        <f>IF(F146&gt;$B$14, 0, IF(LOWER(LEFT($B$2,1))="s", ($B$3-($F146-1)*($B$3/ROUND($B$4*12,0)+$B$10))*($B$5/12),IF(F146=$B$14, ($B$3-((F146-1)*($B$10+$B$6)-SUM(G$3:G145)))*($B$5/12), ABS(IPMT($B$5/12,$F146,NPER($B$5/12,-ABS($B$6)-$B$10,$B$3,0),$B$3)))))</f>
        <v>5555.9562500000002</v>
      </c>
      <c r="H146" s="16">
        <f t="shared" si="6"/>
        <v>6455.5156250000009</v>
      </c>
      <c r="I146" s="15">
        <f t="shared" si="7"/>
        <v>899.55937500000073</v>
      </c>
      <c r="J146" s="16">
        <f>IF(H146=0, 0, ROUND(SUM(H$3:H146)-SUM(G$3:G146),0))</f>
        <v>64768</v>
      </c>
      <c r="K146" s="16" t="str">
        <f t="shared" si="8"/>
        <v/>
      </c>
      <c r="L146" s="15">
        <f>IF($F146&gt;=$B$14, 0, IF(LOWER(LEFT($B$2,1))="s", ($B$3-($F146)*($B$3/ROUND($B$4*12,0)+$B$10)),$B$3-($F146*$B$6-SUM(G$3:G146)+$B$10*$F146)))</f>
        <v>1204692.3076923077</v>
      </c>
      <c r="M146" s="15">
        <f>IF(F146&gt;=ROUND($B$4*12,0),0,IF(LOWER(LEFT($B$2,1))="s", ($B$3-($B$3/ROUND($B$4*12,0))*F146),$B$3-(F146*$B$6-SUM(H$3:H146))))</f>
        <v>1402692.3076923077</v>
      </c>
    </row>
    <row r="147" spans="1:13" x14ac:dyDescent="0.6">
      <c r="A147" s="4"/>
      <c r="B147" s="4"/>
      <c r="C147" s="4"/>
      <c r="D147" s="4"/>
      <c r="E147" s="23"/>
      <c r="F147" s="10">
        <v>145</v>
      </c>
      <c r="G147" s="11">
        <f>IF(F147&gt;$B$14, 0, IF(LOWER(LEFT($B$2,1))="s", ($B$3-($F147-1)*($B$3/ROUND($B$4*12,0)+$B$10))*($B$5/12),IF(F147=$B$14, ($B$3-((F147-1)*($B$10+$B$6)-SUM(G$3:G146)))*($B$5/12), ABS(IPMT($B$5/12,$F147,NPER($B$5/12,-ABS($B$6)-$B$10,$B$3,0),$B$3)))))</f>
        <v>5511.4673076923082</v>
      </c>
      <c r="H147" s="12">
        <f t="shared" si="6"/>
        <v>6417.3173076923076</v>
      </c>
      <c r="I147" s="11">
        <f t="shared" si="7"/>
        <v>905.84999999999945</v>
      </c>
      <c r="J147" s="12">
        <f>IF(H147=0, 0, ROUND(SUM(H$3:H147)-SUM(G$3:G147),0))</f>
        <v>65674</v>
      </c>
      <c r="K147" s="12" t="str">
        <f t="shared" si="8"/>
        <v/>
      </c>
      <c r="L147" s="11">
        <f>IF($F147&gt;=$B$14, 0, IF(LOWER(LEFT($B$2,1))="s", ($B$3-($F147)*($B$3/ROUND($B$4*12,0)+$B$10)),$B$3-($F147*$B$6-SUM(G$3:G147)+$B$10*$F147)))</f>
        <v>1194967.9487179487</v>
      </c>
      <c r="M147" s="11">
        <f>IF(F147&gt;=ROUND($B$4*12,0),0,IF(LOWER(LEFT($B$2,1))="s", ($B$3-($B$3/ROUND($B$4*12,0))*F147),$B$3-(F147*$B$6-SUM(H$3:H147))))</f>
        <v>1394342.9487179487</v>
      </c>
    </row>
    <row r="148" spans="1:13" x14ac:dyDescent="0.6">
      <c r="A148" s="4"/>
      <c r="B148" s="4"/>
      <c r="C148" s="4"/>
      <c r="D148" s="4"/>
      <c r="E148" s="23"/>
      <c r="F148" s="14">
        <v>146</v>
      </c>
      <c r="G148" s="15">
        <f>IF(F148&gt;$B$14, 0, IF(LOWER(LEFT($B$2,1))="s", ($B$3-($F148-1)*($B$3/ROUND($B$4*12,0)+$B$10))*($B$5/12),IF(F148=$B$14, ($B$3-((F148-1)*($B$10+$B$6)-SUM(G$3:G147)))*($B$5/12), ABS(IPMT($B$5/12,$F148,NPER($B$5/12,-ABS($B$6)-$B$10,$B$3,0),$B$3)))))</f>
        <v>5466.9783653846152</v>
      </c>
      <c r="H148" s="16">
        <f t="shared" si="6"/>
        <v>6379.1189903846152</v>
      </c>
      <c r="I148" s="15">
        <f t="shared" si="7"/>
        <v>912.140625</v>
      </c>
      <c r="J148" s="16">
        <f>IF(H148=0, 0, ROUND(SUM(H$3:H148)-SUM(G$3:G148),0))</f>
        <v>66586</v>
      </c>
      <c r="K148" s="16">
        <f t="shared" si="8"/>
        <v>200000</v>
      </c>
      <c r="L148" s="15">
        <f>IF($F148&gt;=$B$14, 0, IF(LOWER(LEFT($B$2,1))="s", ($B$3-($F148)*($B$3/ROUND($B$4*12,0)+$B$10)),$B$3-($F148*$B$6-SUM(G$3:G148)+$B$10*$F148)))</f>
        <v>1185243.5897435897</v>
      </c>
      <c r="M148" s="15">
        <f>IF(F148&gt;=ROUND($B$4*12,0),0,IF(LOWER(LEFT($B$2,1))="s", ($B$3-($B$3/ROUND($B$4*12,0))*F148),$B$3-(F148*$B$6-SUM(H$3:H148))))</f>
        <v>1385993.5897435897</v>
      </c>
    </row>
    <row r="149" spans="1:13" x14ac:dyDescent="0.6">
      <c r="A149" s="4"/>
      <c r="B149" s="4"/>
      <c r="C149" s="4"/>
      <c r="D149" s="4"/>
      <c r="E149" s="23"/>
      <c r="F149" s="10">
        <v>147</v>
      </c>
      <c r="G149" s="11">
        <f>IF(F149&gt;$B$14, 0, IF(LOWER(LEFT($B$2,1))="s", ($B$3-($F149-1)*($B$3/ROUND($B$4*12,0)+$B$10))*($B$5/12),IF(F149=$B$14, ($B$3-((F149-1)*($B$10+$B$6)-SUM(G$3:G148)))*($B$5/12), ABS(IPMT($B$5/12,$F149,NPER($B$5/12,-ABS($B$6)-$B$10,$B$3,0),$B$3)))))</f>
        <v>5422.4894230769232</v>
      </c>
      <c r="H149" s="12">
        <f t="shared" si="6"/>
        <v>6340.9206730769229</v>
      </c>
      <c r="I149" s="11">
        <f t="shared" si="7"/>
        <v>918.43124999999964</v>
      </c>
      <c r="J149" s="12">
        <f>IF(H149=0, 0, ROUND(SUM(H$3:H149)-SUM(G$3:G149),0))</f>
        <v>67505</v>
      </c>
      <c r="K149" s="12" t="str">
        <f t="shared" si="8"/>
        <v/>
      </c>
      <c r="L149" s="11">
        <f>IF($F149&gt;=$B$14, 0, IF(LOWER(LEFT($B$2,1))="s", ($B$3-($F149)*($B$3/ROUND($B$4*12,0)+$B$10)),$B$3-($F149*$B$6-SUM(G$3:G149)+$B$10*$F149)))</f>
        <v>1175519.2307692308</v>
      </c>
      <c r="M149" s="11">
        <f>IF(F149&gt;=ROUND($B$4*12,0),0,IF(LOWER(LEFT($B$2,1))="s", ($B$3-($B$3/ROUND($B$4*12,0))*F149),$B$3-(F149*$B$6-SUM(H$3:H149))))</f>
        <v>1377644.2307692308</v>
      </c>
    </row>
    <row r="150" spans="1:13" x14ac:dyDescent="0.6">
      <c r="A150" s="4"/>
      <c r="B150" s="4"/>
      <c r="C150" s="4"/>
      <c r="D150" s="4"/>
      <c r="E150" s="23"/>
      <c r="F150" s="14">
        <v>148</v>
      </c>
      <c r="G150" s="15">
        <f>IF(F150&gt;$B$14, 0, IF(LOWER(LEFT($B$2,1))="s", ($B$3-($F150-1)*($B$3/ROUND($B$4*12,0)+$B$10))*($B$5/12),IF(F150=$B$14, ($B$3-((F150-1)*($B$10+$B$6)-SUM(G$3:G149)))*($B$5/12), ABS(IPMT($B$5/12,$F150,NPER($B$5/12,-ABS($B$6)-$B$10,$B$3,0),$B$3)))))</f>
        <v>5378.0004807692312</v>
      </c>
      <c r="H150" s="16">
        <f t="shared" si="6"/>
        <v>6302.7223557692305</v>
      </c>
      <c r="I150" s="15">
        <f t="shared" si="7"/>
        <v>924.72187499999927</v>
      </c>
      <c r="J150" s="16">
        <f>IF(H150=0, 0, ROUND(SUM(H$3:H150)-SUM(G$3:G150),0))</f>
        <v>68429</v>
      </c>
      <c r="K150" s="16" t="str">
        <f t="shared" si="8"/>
        <v/>
      </c>
      <c r="L150" s="15">
        <f>IF($F150&gt;=$B$14, 0, IF(LOWER(LEFT($B$2,1))="s", ($B$3-($F150)*($B$3/ROUND($B$4*12,0)+$B$10)),$B$3-($F150*$B$6-SUM(G$3:G150)+$B$10*$F150)))</f>
        <v>1165794.8717948718</v>
      </c>
      <c r="M150" s="15">
        <f>IF(F150&gt;=ROUND($B$4*12,0),0,IF(LOWER(LEFT($B$2,1))="s", ($B$3-($B$3/ROUND($B$4*12,0))*F150),$B$3-(F150*$B$6-SUM(H$3:H150))))</f>
        <v>1369294.8717948718</v>
      </c>
    </row>
    <row r="151" spans="1:13" x14ac:dyDescent="0.6">
      <c r="A151" s="4"/>
      <c r="B151" s="4"/>
      <c r="C151" s="4"/>
      <c r="D151" s="4"/>
      <c r="E151" s="23"/>
      <c r="F151" s="10">
        <v>149</v>
      </c>
      <c r="G151" s="11">
        <f>IF(F151&gt;$B$14, 0, IF(LOWER(LEFT($B$2,1))="s", ($B$3-($F151-1)*($B$3/ROUND($B$4*12,0)+$B$10))*($B$5/12),IF(F151=$B$14, ($B$3-((F151-1)*($B$10+$B$6)-SUM(G$3:G150)))*($B$5/12), ABS(IPMT($B$5/12,$F151,NPER($B$5/12,-ABS($B$6)-$B$10,$B$3,0),$B$3)))))</f>
        <v>5333.5115384615383</v>
      </c>
      <c r="H151" s="12">
        <f t="shared" si="6"/>
        <v>6264.5240384615381</v>
      </c>
      <c r="I151" s="11">
        <f t="shared" si="7"/>
        <v>931.01249999999982</v>
      </c>
      <c r="J151" s="12">
        <f>IF(H151=0, 0, ROUND(SUM(H$3:H151)-SUM(G$3:G151),0))</f>
        <v>69360</v>
      </c>
      <c r="K151" s="12" t="str">
        <f t="shared" si="8"/>
        <v/>
      </c>
      <c r="L151" s="11">
        <f>IF($F151&gt;=$B$14, 0, IF(LOWER(LEFT($B$2,1))="s", ($B$3-($F151)*($B$3/ROUND($B$4*12,0)+$B$10)),$B$3-($F151*$B$6-SUM(G$3:G151)+$B$10*$F151)))</f>
        <v>1156070.5128205128</v>
      </c>
      <c r="M151" s="11">
        <f>IF(F151&gt;=ROUND($B$4*12,0),0,IF(LOWER(LEFT($B$2,1))="s", ($B$3-($B$3/ROUND($B$4*12,0))*F151),$B$3-(F151*$B$6-SUM(H$3:H151))))</f>
        <v>1360945.5128205128</v>
      </c>
    </row>
    <row r="152" spans="1:13" x14ac:dyDescent="0.6">
      <c r="A152" s="4"/>
      <c r="B152" s="4"/>
      <c r="C152" s="4"/>
      <c r="D152" s="4"/>
      <c r="E152" s="23"/>
      <c r="F152" s="14">
        <v>150</v>
      </c>
      <c r="G152" s="15">
        <f>IF(F152&gt;$B$14, 0, IF(LOWER(LEFT($B$2,1))="s", ($B$3-($F152-1)*($B$3/ROUND($B$4*12,0)+$B$10))*($B$5/12),IF(F152=$B$14, ($B$3-((F152-1)*($B$10+$B$6)-SUM(G$3:G151)))*($B$5/12), ABS(IPMT($B$5/12,$F152,NPER($B$5/12,-ABS($B$6)-$B$10,$B$3,0),$B$3)))))</f>
        <v>5289.0225961538463</v>
      </c>
      <c r="H152" s="16">
        <f t="shared" si="6"/>
        <v>6226.3257211538457</v>
      </c>
      <c r="I152" s="15">
        <f t="shared" si="7"/>
        <v>937.30312499999945</v>
      </c>
      <c r="J152" s="16">
        <f>IF(H152=0, 0, ROUND(SUM(H$3:H152)-SUM(G$3:G152),0))</f>
        <v>70298</v>
      </c>
      <c r="K152" s="16" t="str">
        <f t="shared" si="8"/>
        <v/>
      </c>
      <c r="L152" s="15">
        <f>IF($F152&gt;=$B$14, 0, IF(LOWER(LEFT($B$2,1))="s", ($B$3-($F152)*($B$3/ROUND($B$4*12,0)+$B$10)),$B$3-($F152*$B$6-SUM(G$3:G152)+$B$10*$F152)))</f>
        <v>1146346.1538461538</v>
      </c>
      <c r="M152" s="15">
        <f>IF(F152&gt;=ROUND($B$4*12,0),0,IF(LOWER(LEFT($B$2,1))="s", ($B$3-($B$3/ROUND($B$4*12,0))*F152),$B$3-(F152*$B$6-SUM(H$3:H152))))</f>
        <v>1352596.1538461538</v>
      </c>
    </row>
    <row r="153" spans="1:13" x14ac:dyDescent="0.6">
      <c r="A153" s="4"/>
      <c r="B153" s="4"/>
      <c r="C153" s="4"/>
      <c r="D153" s="4"/>
      <c r="E153" s="23"/>
      <c r="F153" s="10">
        <v>151</v>
      </c>
      <c r="G153" s="11">
        <f>IF(F153&gt;$B$14, 0, IF(LOWER(LEFT($B$2,1))="s", ($B$3-($F153-1)*($B$3/ROUND($B$4*12,0)+$B$10))*($B$5/12),IF(F153=$B$14, ($B$3-((F153-1)*($B$10+$B$6)-SUM(G$3:G152)))*($B$5/12), ABS(IPMT($B$5/12,$F153,NPER($B$5/12,-ABS($B$6)-$B$10,$B$3,0),$B$3)))))</f>
        <v>5244.5336538461534</v>
      </c>
      <c r="H153" s="12">
        <f t="shared" si="6"/>
        <v>6188.1274038461534</v>
      </c>
      <c r="I153" s="11">
        <f t="shared" si="7"/>
        <v>943.59375</v>
      </c>
      <c r="J153" s="12">
        <f>IF(H153=0, 0, ROUND(SUM(H$3:H153)-SUM(G$3:G153),0))</f>
        <v>71241</v>
      </c>
      <c r="K153" s="12" t="str">
        <f t="shared" si="8"/>
        <v/>
      </c>
      <c r="L153" s="11">
        <f>IF($F153&gt;=$B$14, 0, IF(LOWER(LEFT($B$2,1))="s", ($B$3-($F153)*($B$3/ROUND($B$4*12,0)+$B$10)),$B$3-($F153*$B$6-SUM(G$3:G153)+$B$10*$F153)))</f>
        <v>1136621.7948717948</v>
      </c>
      <c r="M153" s="11">
        <f>IF(F153&gt;=ROUND($B$4*12,0),0,IF(LOWER(LEFT($B$2,1))="s", ($B$3-($B$3/ROUND($B$4*12,0))*F153),$B$3-(F153*$B$6-SUM(H$3:H153))))</f>
        <v>1344246.7948717948</v>
      </c>
    </row>
    <row r="154" spans="1:13" x14ac:dyDescent="0.6">
      <c r="A154" s="4"/>
      <c r="B154" s="4"/>
      <c r="C154" s="4"/>
      <c r="D154" s="4"/>
      <c r="E154" s="23"/>
      <c r="F154" s="14">
        <v>152</v>
      </c>
      <c r="G154" s="15">
        <f>IF(F154&gt;$B$14, 0, IF(LOWER(LEFT($B$2,1))="s", ($B$3-($F154-1)*($B$3/ROUND($B$4*12,0)+$B$10))*($B$5/12),IF(F154=$B$14, ($B$3-((F154-1)*($B$10+$B$6)-SUM(G$3:G153)))*($B$5/12), ABS(IPMT($B$5/12,$F154,NPER($B$5/12,-ABS($B$6)-$B$10,$B$3,0),$B$3)))))</f>
        <v>5200.0447115384613</v>
      </c>
      <c r="H154" s="16">
        <f t="shared" si="6"/>
        <v>6149.929086538461</v>
      </c>
      <c r="I154" s="15">
        <f t="shared" si="7"/>
        <v>949.88437499999964</v>
      </c>
      <c r="J154" s="16">
        <f>IF(H154=0, 0, ROUND(SUM(H$3:H154)-SUM(G$3:G154),0))</f>
        <v>72191</v>
      </c>
      <c r="K154" s="16" t="str">
        <f t="shared" si="8"/>
        <v/>
      </c>
      <c r="L154" s="15">
        <f>IF($F154&gt;=$B$14, 0, IF(LOWER(LEFT($B$2,1))="s", ($B$3-($F154)*($B$3/ROUND($B$4*12,0)+$B$10)),$B$3-($F154*$B$6-SUM(G$3:G154)+$B$10*$F154)))</f>
        <v>1126897.4358974358</v>
      </c>
      <c r="M154" s="15">
        <f>IF(F154&gt;=ROUND($B$4*12,0),0,IF(LOWER(LEFT($B$2,1))="s", ($B$3-($B$3/ROUND($B$4*12,0))*F154),$B$3-(F154*$B$6-SUM(H$3:H154))))</f>
        <v>1335897.4358974358</v>
      </c>
    </row>
    <row r="155" spans="1:13" x14ac:dyDescent="0.6">
      <c r="A155" s="4"/>
      <c r="B155" s="4"/>
      <c r="C155" s="4"/>
      <c r="D155" s="4"/>
      <c r="E155" s="23"/>
      <c r="F155" s="10">
        <v>153</v>
      </c>
      <c r="G155" s="11">
        <f>IF(F155&gt;$B$14, 0, IF(LOWER(LEFT($B$2,1))="s", ($B$3-($F155-1)*($B$3/ROUND($B$4*12,0)+$B$10))*($B$5/12),IF(F155=$B$14, ($B$3-((F155-1)*($B$10+$B$6)-SUM(G$3:G154)))*($B$5/12), ABS(IPMT($B$5/12,$F155,NPER($B$5/12,-ABS($B$6)-$B$10,$B$3,0),$B$3)))))</f>
        <v>5155.5557692307684</v>
      </c>
      <c r="H155" s="12">
        <f t="shared" si="6"/>
        <v>6111.7307692307686</v>
      </c>
      <c r="I155" s="11">
        <f t="shared" si="7"/>
        <v>956.17500000000018</v>
      </c>
      <c r="J155" s="12">
        <f>IF(H155=0, 0, ROUND(SUM(H$3:H155)-SUM(G$3:G155),0))</f>
        <v>73147</v>
      </c>
      <c r="K155" s="12">
        <f t="shared" si="8"/>
        <v>210000</v>
      </c>
      <c r="L155" s="11">
        <f>IF($F155&gt;=$B$14, 0, IF(LOWER(LEFT($B$2,1))="s", ($B$3-($F155)*($B$3/ROUND($B$4*12,0)+$B$10)),$B$3-($F155*$B$6-SUM(G$3:G155)+$B$10*$F155)))</f>
        <v>1117173.076923077</v>
      </c>
      <c r="M155" s="11">
        <f>IF(F155&gt;=ROUND($B$4*12,0),0,IF(LOWER(LEFT($B$2,1))="s", ($B$3-($B$3/ROUND($B$4*12,0))*F155),$B$3-(F155*$B$6-SUM(H$3:H155))))</f>
        <v>1327548.076923077</v>
      </c>
    </row>
    <row r="156" spans="1:13" x14ac:dyDescent="0.6">
      <c r="A156" s="4"/>
      <c r="B156" s="4"/>
      <c r="C156" s="4"/>
      <c r="D156" s="4"/>
      <c r="E156" s="23"/>
      <c r="F156" s="14">
        <v>154</v>
      </c>
      <c r="G156" s="15">
        <f>IF(F156&gt;$B$14, 0, IF(LOWER(LEFT($B$2,1))="s", ($B$3-($F156-1)*($B$3/ROUND($B$4*12,0)+$B$10))*($B$5/12),IF(F156=$B$14, ($B$3-((F156-1)*($B$10+$B$6)-SUM(G$3:G155)))*($B$5/12), ABS(IPMT($B$5/12,$F156,NPER($B$5/12,-ABS($B$6)-$B$10,$B$3,0),$B$3)))))</f>
        <v>5111.0668269230773</v>
      </c>
      <c r="H156" s="16">
        <f t="shared" si="6"/>
        <v>6073.5324519230771</v>
      </c>
      <c r="I156" s="15">
        <f t="shared" si="7"/>
        <v>962.46562499999982</v>
      </c>
      <c r="J156" s="16">
        <f>IF(H156=0, 0, ROUND(SUM(H$3:H156)-SUM(G$3:G156),0))</f>
        <v>74110</v>
      </c>
      <c r="K156" s="16" t="str">
        <f t="shared" si="8"/>
        <v/>
      </c>
      <c r="L156" s="15">
        <f>IF($F156&gt;=$B$14, 0, IF(LOWER(LEFT($B$2,1))="s", ($B$3-($F156)*($B$3/ROUND($B$4*12,0)+$B$10)),$B$3-($F156*$B$6-SUM(G$3:G156)+$B$10*$F156)))</f>
        <v>1107448.717948718</v>
      </c>
      <c r="M156" s="15">
        <f>IF(F156&gt;=ROUND($B$4*12,0),0,IF(LOWER(LEFT($B$2,1))="s", ($B$3-($B$3/ROUND($B$4*12,0))*F156),$B$3-(F156*$B$6-SUM(H$3:H156))))</f>
        <v>1319198.717948718</v>
      </c>
    </row>
    <row r="157" spans="1:13" x14ac:dyDescent="0.6">
      <c r="A157" s="4"/>
      <c r="B157" s="4"/>
      <c r="C157" s="4"/>
      <c r="D157" s="4"/>
      <c r="E157" s="23"/>
      <c r="F157" s="10">
        <v>155</v>
      </c>
      <c r="G157" s="11">
        <f>IF(F157&gt;$B$14, 0, IF(LOWER(LEFT($B$2,1))="s", ($B$3-($F157-1)*($B$3/ROUND($B$4*12,0)+$B$10))*($B$5/12),IF(F157=$B$14, ($B$3-((F157-1)*($B$10+$B$6)-SUM(G$3:G156)))*($B$5/12), ABS(IPMT($B$5/12,$F157,NPER($B$5/12,-ABS($B$6)-$B$10,$B$3,0),$B$3)))))</f>
        <v>5066.5778846153853</v>
      </c>
      <c r="H157" s="12">
        <f t="shared" si="6"/>
        <v>6035.3341346153848</v>
      </c>
      <c r="I157" s="11">
        <f t="shared" si="7"/>
        <v>968.75624999999945</v>
      </c>
      <c r="J157" s="12">
        <f>IF(H157=0, 0, ROUND(SUM(H$3:H157)-SUM(G$3:G157),0))</f>
        <v>75079</v>
      </c>
      <c r="K157" s="12" t="str">
        <f t="shared" si="8"/>
        <v/>
      </c>
      <c r="L157" s="11">
        <f>IF($F157&gt;=$B$14, 0, IF(LOWER(LEFT($B$2,1))="s", ($B$3-($F157)*($B$3/ROUND($B$4*12,0)+$B$10)),$B$3-($F157*$B$6-SUM(G$3:G157)+$B$10*$F157)))</f>
        <v>1097724.358974359</v>
      </c>
      <c r="M157" s="11">
        <f>IF(F157&gt;=ROUND($B$4*12,0),0,IF(LOWER(LEFT($B$2,1))="s", ($B$3-($B$3/ROUND($B$4*12,0))*F157),$B$3-(F157*$B$6-SUM(H$3:H157))))</f>
        <v>1310849.358974359</v>
      </c>
    </row>
    <row r="158" spans="1:13" x14ac:dyDescent="0.6">
      <c r="A158" s="4"/>
      <c r="B158" s="4"/>
      <c r="C158" s="4"/>
      <c r="D158" s="4"/>
      <c r="E158" s="23" t="s">
        <v>36</v>
      </c>
      <c r="F158" s="14">
        <v>156</v>
      </c>
      <c r="G158" s="15">
        <f>IF(F158&gt;$B$14, 0, IF(LOWER(LEFT($B$2,1))="s", ($B$3-($F158-1)*($B$3/ROUND($B$4*12,0)+$B$10))*($B$5/12),IF(F158=$B$14, ($B$3-((F158-1)*($B$10+$B$6)-SUM(G$3:G157)))*($B$5/12), ABS(IPMT($B$5/12,$F158,NPER($B$5/12,-ABS($B$6)-$B$10,$B$3,0),$B$3)))))</f>
        <v>5022.0889423076924</v>
      </c>
      <c r="H158" s="16">
        <f t="shared" si="6"/>
        <v>5997.1358173076924</v>
      </c>
      <c r="I158" s="15">
        <f t="shared" si="7"/>
        <v>975.046875</v>
      </c>
      <c r="J158" s="16">
        <f>IF(H158=0, 0, ROUND(SUM(H$3:H158)-SUM(G$3:G158),0))</f>
        <v>76054</v>
      </c>
      <c r="K158" s="16" t="str">
        <f t="shared" si="8"/>
        <v/>
      </c>
      <c r="L158" s="15">
        <f>IF($F158&gt;=$B$14, 0, IF(LOWER(LEFT($B$2,1))="s", ($B$3-($F158)*($B$3/ROUND($B$4*12,0)+$B$10)),$B$3-($F158*$B$6-SUM(G$3:G158)+$B$10*$F158)))</f>
        <v>1088000</v>
      </c>
      <c r="M158" s="15">
        <f>IF(F158&gt;=ROUND($B$4*12,0),0,IF(LOWER(LEFT($B$2,1))="s", ($B$3-($B$3/ROUND($B$4*12,0))*F158),$B$3-(F158*$B$6-SUM(H$3:H158))))</f>
        <v>1302500</v>
      </c>
    </row>
    <row r="159" spans="1:13" x14ac:dyDescent="0.6">
      <c r="A159" s="4"/>
      <c r="B159" s="4"/>
      <c r="C159" s="4"/>
      <c r="D159" s="4"/>
      <c r="E159" s="23"/>
      <c r="F159" s="10">
        <v>157</v>
      </c>
      <c r="G159" s="11">
        <f>IF(F159&gt;$B$14, 0, IF(LOWER(LEFT($B$2,1))="s", ($B$3-($F159-1)*($B$3/ROUND($B$4*12,0)+$B$10))*($B$5/12),IF(F159=$B$14, ($B$3-((F159-1)*($B$10+$B$6)-SUM(G$3:G158)))*($B$5/12), ABS(IPMT($B$5/12,$F159,NPER($B$5/12,-ABS($B$6)-$B$10,$B$3,0),$B$3)))))</f>
        <v>4977.6000000000004</v>
      </c>
      <c r="H159" s="12">
        <f t="shared" si="6"/>
        <v>5958.9375</v>
      </c>
      <c r="I159" s="11">
        <f t="shared" si="7"/>
        <v>981.33749999999964</v>
      </c>
      <c r="J159" s="12">
        <f>IF(H159=0, 0, ROUND(SUM(H$3:H159)-SUM(G$3:G159),0))</f>
        <v>77035</v>
      </c>
      <c r="K159" s="12" t="str">
        <f t="shared" si="8"/>
        <v/>
      </c>
      <c r="L159" s="11">
        <f>IF($F159&gt;=$B$14, 0, IF(LOWER(LEFT($B$2,1))="s", ($B$3-($F159)*($B$3/ROUND($B$4*12,0)+$B$10)),$B$3-($F159*$B$6-SUM(G$3:G159)+$B$10*$F159)))</f>
        <v>1078275.641025641</v>
      </c>
      <c r="M159" s="11">
        <f>IF(F159&gt;=ROUND($B$4*12,0),0,IF(LOWER(LEFT($B$2,1))="s", ($B$3-($B$3/ROUND($B$4*12,0))*F159),$B$3-(F159*$B$6-SUM(H$3:H159))))</f>
        <v>1294150.641025641</v>
      </c>
    </row>
    <row r="160" spans="1:13" x14ac:dyDescent="0.6">
      <c r="A160" s="4"/>
      <c r="B160" s="4"/>
      <c r="C160" s="4"/>
      <c r="D160" s="4"/>
      <c r="E160" s="23"/>
      <c r="F160" s="14">
        <v>158</v>
      </c>
      <c r="G160" s="15">
        <f>IF(F160&gt;$B$14, 0, IF(LOWER(LEFT($B$2,1))="s", ($B$3-($F160-1)*($B$3/ROUND($B$4*12,0)+$B$10))*($B$5/12),IF(F160=$B$14, ($B$3-((F160-1)*($B$10+$B$6)-SUM(G$3:G159)))*($B$5/12), ABS(IPMT($B$5/12,$F160,NPER($B$5/12,-ABS($B$6)-$B$10,$B$3,0),$B$3)))))</f>
        <v>4933.1110576923074</v>
      </c>
      <c r="H160" s="16">
        <f t="shared" si="6"/>
        <v>5920.7391826923076</v>
      </c>
      <c r="I160" s="15">
        <f t="shared" si="7"/>
        <v>987.62812500000018</v>
      </c>
      <c r="J160" s="16">
        <f>IF(H160=0, 0, ROUND(SUM(H$3:H160)-SUM(G$3:G160),0))</f>
        <v>78023</v>
      </c>
      <c r="K160" s="16" t="str">
        <f t="shared" si="8"/>
        <v/>
      </c>
      <c r="L160" s="15">
        <f>IF($F160&gt;=$B$14, 0, IF(LOWER(LEFT($B$2,1))="s", ($B$3-($F160)*($B$3/ROUND($B$4*12,0)+$B$10)),$B$3-($F160*$B$6-SUM(G$3:G160)+$B$10*$F160)))</f>
        <v>1068551.282051282</v>
      </c>
      <c r="M160" s="15">
        <f>IF(F160&gt;=ROUND($B$4*12,0),0,IF(LOWER(LEFT($B$2,1))="s", ($B$3-($B$3/ROUND($B$4*12,0))*F160),$B$3-(F160*$B$6-SUM(H$3:H160))))</f>
        <v>1285801.282051282</v>
      </c>
    </row>
    <row r="161" spans="1:13" x14ac:dyDescent="0.6">
      <c r="A161" s="4"/>
      <c r="B161" s="4"/>
      <c r="C161" s="4"/>
      <c r="D161" s="4"/>
      <c r="E161" s="23"/>
      <c r="F161" s="10">
        <v>159</v>
      </c>
      <c r="G161" s="11">
        <f>IF(F161&gt;$B$14, 0, IF(LOWER(LEFT($B$2,1))="s", ($B$3-($F161-1)*($B$3/ROUND($B$4*12,0)+$B$10))*($B$5/12),IF(F161=$B$14, ($B$3-((F161-1)*($B$10+$B$6)-SUM(G$3:G160)))*($B$5/12), ABS(IPMT($B$5/12,$F161,NPER($B$5/12,-ABS($B$6)-$B$10,$B$3,0),$B$3)))))</f>
        <v>4888.6221153846154</v>
      </c>
      <c r="H161" s="12">
        <f t="shared" si="6"/>
        <v>5882.5408653846152</v>
      </c>
      <c r="I161" s="11">
        <f t="shared" si="7"/>
        <v>993.91874999999982</v>
      </c>
      <c r="J161" s="12">
        <f>IF(H161=0, 0, ROUND(SUM(H$3:H161)-SUM(G$3:G161),0))</f>
        <v>79017</v>
      </c>
      <c r="K161" s="12" t="str">
        <f t="shared" si="8"/>
        <v/>
      </c>
      <c r="L161" s="11">
        <f>IF($F161&gt;=$B$14, 0, IF(LOWER(LEFT($B$2,1))="s", ($B$3-($F161)*($B$3/ROUND($B$4*12,0)+$B$10)),$B$3-($F161*$B$6-SUM(G$3:G161)+$B$10*$F161)))</f>
        <v>1058826.923076923</v>
      </c>
      <c r="M161" s="11">
        <f>IF(F161&gt;=ROUND($B$4*12,0),0,IF(LOWER(LEFT($B$2,1))="s", ($B$3-($B$3/ROUND($B$4*12,0))*F161),$B$3-(F161*$B$6-SUM(H$3:H161))))</f>
        <v>1277451.923076923</v>
      </c>
    </row>
    <row r="162" spans="1:13" x14ac:dyDescent="0.6">
      <c r="A162" s="4"/>
      <c r="B162" s="4"/>
      <c r="C162" s="4"/>
      <c r="D162" s="4"/>
      <c r="E162" s="23"/>
      <c r="F162" s="14">
        <v>160</v>
      </c>
      <c r="G162" s="15">
        <f>IF(F162&gt;$B$14, 0, IF(LOWER(LEFT($B$2,1))="s", ($B$3-($F162-1)*($B$3/ROUND($B$4*12,0)+$B$10))*($B$5/12),IF(F162=$B$14, ($B$3-((F162-1)*($B$10+$B$6)-SUM(G$3:G161)))*($B$5/12), ABS(IPMT($B$5/12,$F162,NPER($B$5/12,-ABS($B$6)-$B$10,$B$3,0),$B$3)))))</f>
        <v>4844.1331730769225</v>
      </c>
      <c r="H162" s="16">
        <f t="shared" si="6"/>
        <v>5844.3425480769229</v>
      </c>
      <c r="I162" s="15">
        <f t="shared" si="7"/>
        <v>1000.2093750000004</v>
      </c>
      <c r="J162" s="16">
        <f>IF(H162=0, 0, ROUND(SUM(H$3:H162)-SUM(G$3:G162),0))</f>
        <v>80017</v>
      </c>
      <c r="K162" s="16">
        <f t="shared" si="8"/>
        <v>220000</v>
      </c>
      <c r="L162" s="15">
        <f>IF($F162&gt;=$B$14, 0, IF(LOWER(LEFT($B$2,1))="s", ($B$3-($F162)*($B$3/ROUND($B$4*12,0)+$B$10)),$B$3-($F162*$B$6-SUM(G$3:G162)+$B$10*$F162)))</f>
        <v>1049102.564102564</v>
      </c>
      <c r="M162" s="15">
        <f>IF(F162&gt;=ROUND($B$4*12,0),0,IF(LOWER(LEFT($B$2,1))="s", ($B$3-($B$3/ROUND($B$4*12,0))*F162),$B$3-(F162*$B$6-SUM(H$3:H162))))</f>
        <v>1269102.564102564</v>
      </c>
    </row>
    <row r="163" spans="1:13" x14ac:dyDescent="0.6">
      <c r="A163" s="4"/>
      <c r="B163" s="4"/>
      <c r="C163" s="4"/>
      <c r="D163" s="4"/>
      <c r="E163" s="23"/>
      <c r="F163" s="10">
        <v>161</v>
      </c>
      <c r="G163" s="11">
        <f>IF(F163&gt;$B$14, 0, IF(LOWER(LEFT($B$2,1))="s", ($B$3-($F163-1)*($B$3/ROUND($B$4*12,0)+$B$10))*($B$5/12),IF(F163=$B$14, ($B$3-((F163-1)*($B$10+$B$6)-SUM(G$3:G162)))*($B$5/12), ABS(IPMT($B$5/12,$F163,NPER($B$5/12,-ABS($B$6)-$B$10,$B$3,0),$B$3)))))</f>
        <v>4799.6442307692305</v>
      </c>
      <c r="H163" s="12">
        <f t="shared" si="6"/>
        <v>5806.1442307692305</v>
      </c>
      <c r="I163" s="11">
        <f t="shared" si="7"/>
        <v>1006.5</v>
      </c>
      <c r="J163" s="12">
        <f>IF(H163=0, 0, ROUND(SUM(H$3:H163)-SUM(G$3:G163),0))</f>
        <v>81023</v>
      </c>
      <c r="K163" s="12" t="str">
        <f t="shared" si="8"/>
        <v/>
      </c>
      <c r="L163" s="11">
        <f>IF($F163&gt;=$B$14, 0, IF(LOWER(LEFT($B$2,1))="s", ($B$3-($F163)*($B$3/ROUND($B$4*12,0)+$B$10)),$B$3-($F163*$B$6-SUM(G$3:G163)+$B$10*$F163)))</f>
        <v>1039378.205128205</v>
      </c>
      <c r="M163" s="11">
        <f>IF(F163&gt;=ROUND($B$4*12,0),0,IF(LOWER(LEFT($B$2,1))="s", ($B$3-($B$3/ROUND($B$4*12,0))*F163),$B$3-(F163*$B$6-SUM(H$3:H163))))</f>
        <v>1260753.205128205</v>
      </c>
    </row>
    <row r="164" spans="1:13" x14ac:dyDescent="0.6">
      <c r="A164" s="4"/>
      <c r="B164" s="4"/>
      <c r="C164" s="4"/>
      <c r="D164" s="4"/>
      <c r="E164" s="23"/>
      <c r="F164" s="14">
        <v>162</v>
      </c>
      <c r="G164" s="15">
        <f>IF(F164&gt;$B$14, 0, IF(LOWER(LEFT($B$2,1))="s", ($B$3-($F164-1)*($B$3/ROUND($B$4*12,0)+$B$10))*($B$5/12),IF(F164=$B$14, ($B$3-((F164-1)*($B$10+$B$6)-SUM(G$3:G163)))*($B$5/12), ABS(IPMT($B$5/12,$F164,NPER($B$5/12,-ABS($B$6)-$B$10,$B$3,0),$B$3)))))</f>
        <v>4755.1552884615376</v>
      </c>
      <c r="H164" s="16">
        <f t="shared" si="6"/>
        <v>5767.9459134615381</v>
      </c>
      <c r="I164" s="15">
        <f t="shared" si="7"/>
        <v>1012.7906250000005</v>
      </c>
      <c r="J164" s="16">
        <f>IF(H164=0, 0, ROUND(SUM(H$3:H164)-SUM(G$3:G164),0))</f>
        <v>82036</v>
      </c>
      <c r="K164" s="16" t="str">
        <f t="shared" si="8"/>
        <v/>
      </c>
      <c r="L164" s="15">
        <f>IF($F164&gt;=$B$14, 0, IF(LOWER(LEFT($B$2,1))="s", ($B$3-($F164)*($B$3/ROUND($B$4*12,0)+$B$10)),$B$3-($F164*$B$6-SUM(G$3:G164)+$B$10*$F164)))</f>
        <v>1029653.846153846</v>
      </c>
      <c r="M164" s="15">
        <f>IF(F164&gt;=ROUND($B$4*12,0),0,IF(LOWER(LEFT($B$2,1))="s", ($B$3-($B$3/ROUND($B$4*12,0))*F164),$B$3-(F164*$B$6-SUM(H$3:H164))))</f>
        <v>1252403.846153846</v>
      </c>
    </row>
    <row r="165" spans="1:13" x14ac:dyDescent="0.6">
      <c r="A165" s="4"/>
      <c r="B165" s="4"/>
      <c r="C165" s="4"/>
      <c r="D165" s="4"/>
      <c r="E165" s="23"/>
      <c r="F165" s="10">
        <v>163</v>
      </c>
      <c r="G165" s="11">
        <f>IF(F165&gt;$B$14, 0, IF(LOWER(LEFT($B$2,1))="s", ($B$3-($F165-1)*($B$3/ROUND($B$4*12,0)+$B$10))*($B$5/12),IF(F165=$B$14, ($B$3-((F165-1)*($B$10+$B$6)-SUM(G$3:G164)))*($B$5/12), ABS(IPMT($B$5/12,$F165,NPER($B$5/12,-ABS($B$6)-$B$10,$B$3,0),$B$3)))))</f>
        <v>4710.6663461538456</v>
      </c>
      <c r="H165" s="12">
        <f t="shared" si="6"/>
        <v>5729.7475961538457</v>
      </c>
      <c r="I165" s="11">
        <f t="shared" si="7"/>
        <v>1019.0812500000002</v>
      </c>
      <c r="J165" s="12">
        <f>IF(H165=0, 0, ROUND(SUM(H$3:H165)-SUM(G$3:G165),0))</f>
        <v>83055</v>
      </c>
      <c r="K165" s="12" t="str">
        <f t="shared" si="8"/>
        <v/>
      </c>
      <c r="L165" s="11">
        <f>IF($F165&gt;=$B$14, 0, IF(LOWER(LEFT($B$2,1))="s", ($B$3-($F165)*($B$3/ROUND($B$4*12,0)+$B$10)),$B$3-($F165*$B$6-SUM(G$3:G165)+$B$10*$F165)))</f>
        <v>1019929.4871794872</v>
      </c>
      <c r="M165" s="11">
        <f>IF(F165&gt;=ROUND($B$4*12,0),0,IF(LOWER(LEFT($B$2,1))="s", ($B$3-($B$3/ROUND($B$4*12,0))*F165),$B$3-(F165*$B$6-SUM(H$3:H165))))</f>
        <v>1244054.4871794872</v>
      </c>
    </row>
    <row r="166" spans="1:13" x14ac:dyDescent="0.6">
      <c r="A166" s="4"/>
      <c r="B166" s="4"/>
      <c r="C166" s="4"/>
      <c r="D166" s="4"/>
      <c r="E166" s="23"/>
      <c r="F166" s="14">
        <v>164</v>
      </c>
      <c r="G166" s="15">
        <f>IF(F166&gt;$B$14, 0, IF(LOWER(LEFT($B$2,1))="s", ($B$3-($F166-1)*($B$3/ROUND($B$4*12,0)+$B$10))*($B$5/12),IF(F166=$B$14, ($B$3-((F166-1)*($B$10+$B$6)-SUM(G$3:G165)))*($B$5/12), ABS(IPMT($B$5/12,$F166,NPER($B$5/12,-ABS($B$6)-$B$10,$B$3,0),$B$3)))))</f>
        <v>4666.1774038461544</v>
      </c>
      <c r="H166" s="16">
        <f t="shared" si="6"/>
        <v>5691.5492788461543</v>
      </c>
      <c r="I166" s="15">
        <f t="shared" si="7"/>
        <v>1025.3718749999998</v>
      </c>
      <c r="J166" s="16">
        <f>IF(H166=0, 0, ROUND(SUM(H$3:H166)-SUM(G$3:G166),0))</f>
        <v>84080</v>
      </c>
      <c r="K166" s="16" t="str">
        <f t="shared" si="8"/>
        <v/>
      </c>
      <c r="L166" s="15">
        <f>IF($F166&gt;=$B$14, 0, IF(LOWER(LEFT($B$2,1))="s", ($B$3-($F166)*($B$3/ROUND($B$4*12,0)+$B$10)),$B$3-($F166*$B$6-SUM(G$3:G166)+$B$10*$F166)))</f>
        <v>1010205.1282051282</v>
      </c>
      <c r="M166" s="15">
        <f>IF(F166&gt;=ROUND($B$4*12,0),0,IF(LOWER(LEFT($B$2,1))="s", ($B$3-($B$3/ROUND($B$4*12,0))*F166),$B$3-(F166*$B$6-SUM(H$3:H166))))</f>
        <v>1235705.1282051282</v>
      </c>
    </row>
    <row r="167" spans="1:13" x14ac:dyDescent="0.6">
      <c r="A167" s="4"/>
      <c r="B167" s="4"/>
      <c r="C167" s="4"/>
      <c r="D167" s="4"/>
      <c r="E167" s="23"/>
      <c r="F167" s="10">
        <v>165</v>
      </c>
      <c r="G167" s="11">
        <f>IF(F167&gt;$B$14, 0, IF(LOWER(LEFT($B$2,1))="s", ($B$3-($F167-1)*($B$3/ROUND($B$4*12,0)+$B$10))*($B$5/12),IF(F167=$B$14, ($B$3-((F167-1)*($B$10+$B$6)-SUM(G$3:G166)))*($B$5/12), ABS(IPMT($B$5/12,$F167,NPER($B$5/12,-ABS($B$6)-$B$10,$B$3,0),$B$3)))))</f>
        <v>4621.6884615384615</v>
      </c>
      <c r="H167" s="12">
        <f t="shared" si="6"/>
        <v>5653.3509615384619</v>
      </c>
      <c r="I167" s="11">
        <f t="shared" si="7"/>
        <v>1031.6625000000004</v>
      </c>
      <c r="J167" s="12">
        <f>IF(H167=0, 0, ROUND(SUM(H$3:H167)-SUM(G$3:G167),0))</f>
        <v>85112</v>
      </c>
      <c r="K167" s="12" t="str">
        <f t="shared" si="8"/>
        <v/>
      </c>
      <c r="L167" s="11">
        <f>IF($F167&gt;=$B$14, 0, IF(LOWER(LEFT($B$2,1))="s", ($B$3-($F167)*($B$3/ROUND($B$4*12,0)+$B$10)),$B$3-($F167*$B$6-SUM(G$3:G167)+$B$10*$F167)))</f>
        <v>1000480.7692307692</v>
      </c>
      <c r="M167" s="11">
        <f>IF(F167&gt;=ROUND($B$4*12,0),0,IF(LOWER(LEFT($B$2,1))="s", ($B$3-($B$3/ROUND($B$4*12,0))*F167),$B$3-(F167*$B$6-SUM(H$3:H167))))</f>
        <v>1227355.7692307692</v>
      </c>
    </row>
    <row r="168" spans="1:13" x14ac:dyDescent="0.6">
      <c r="A168" s="4"/>
      <c r="B168" s="4"/>
      <c r="C168" s="4"/>
      <c r="D168" s="4"/>
      <c r="E168" s="23"/>
      <c r="F168" s="14">
        <v>166</v>
      </c>
      <c r="G168" s="15">
        <f>IF(F168&gt;$B$14, 0, IF(LOWER(LEFT($B$2,1))="s", ($B$3-($F168-1)*($B$3/ROUND($B$4*12,0)+$B$10))*($B$5/12),IF(F168=$B$14, ($B$3-((F168-1)*($B$10+$B$6)-SUM(G$3:G167)))*($B$5/12), ABS(IPMT($B$5/12,$F168,NPER($B$5/12,-ABS($B$6)-$B$10,$B$3,0),$B$3)))))</f>
        <v>4577.1995192307695</v>
      </c>
      <c r="H168" s="16">
        <f t="shared" si="6"/>
        <v>5615.1526442307695</v>
      </c>
      <c r="I168" s="15">
        <f t="shared" si="7"/>
        <v>1037.953125</v>
      </c>
      <c r="J168" s="16">
        <f>IF(H168=0, 0, ROUND(SUM(H$3:H168)-SUM(G$3:G168),0))</f>
        <v>86150</v>
      </c>
      <c r="K168" s="16" t="str">
        <f t="shared" si="8"/>
        <v/>
      </c>
      <c r="L168" s="15">
        <f>IF($F168&gt;=$B$14, 0, IF(LOWER(LEFT($B$2,1))="s", ($B$3-($F168)*($B$3/ROUND($B$4*12,0)+$B$10)),$B$3-($F168*$B$6-SUM(G$3:G168)+$B$10*$F168)))</f>
        <v>990756.41025641025</v>
      </c>
      <c r="M168" s="15">
        <f>IF(F168&gt;=ROUND($B$4*12,0),0,IF(LOWER(LEFT($B$2,1))="s", ($B$3-($B$3/ROUND($B$4*12,0))*F168),$B$3-(F168*$B$6-SUM(H$3:H168))))</f>
        <v>1219006.4102564103</v>
      </c>
    </row>
    <row r="169" spans="1:13" x14ac:dyDescent="0.6">
      <c r="A169" s="4"/>
      <c r="B169" s="4"/>
      <c r="C169" s="4"/>
      <c r="D169" s="4"/>
      <c r="E169" s="23"/>
      <c r="F169" s="10">
        <v>167</v>
      </c>
      <c r="G169" s="11">
        <f>IF(F169&gt;$B$14, 0, IF(LOWER(LEFT($B$2,1))="s", ($B$3-($F169-1)*($B$3/ROUND($B$4*12,0)+$B$10))*($B$5/12),IF(F169=$B$14, ($B$3-((F169-1)*($B$10+$B$6)-SUM(G$3:G168)))*($B$5/12), ABS(IPMT($B$5/12,$F169,NPER($B$5/12,-ABS($B$6)-$B$10,$B$3,0),$B$3)))))</f>
        <v>4532.7105769230766</v>
      </c>
      <c r="H169" s="12">
        <f t="shared" si="6"/>
        <v>5576.9543269230771</v>
      </c>
      <c r="I169" s="11">
        <f t="shared" si="7"/>
        <v>1044.2437500000005</v>
      </c>
      <c r="J169" s="12">
        <f>IF(H169=0, 0, ROUND(SUM(H$3:H169)-SUM(G$3:G169),0))</f>
        <v>87194</v>
      </c>
      <c r="K169" s="12" t="str">
        <f t="shared" si="8"/>
        <v/>
      </c>
      <c r="L169" s="11">
        <f>IF($F169&gt;=$B$14, 0, IF(LOWER(LEFT($B$2,1))="s", ($B$3-($F169)*($B$3/ROUND($B$4*12,0)+$B$10)),$B$3-($F169*$B$6-SUM(G$3:G169)+$B$10*$F169)))</f>
        <v>981032.05128205125</v>
      </c>
      <c r="M169" s="11">
        <f>IF(F169&gt;=ROUND($B$4*12,0),0,IF(LOWER(LEFT($B$2,1))="s", ($B$3-($B$3/ROUND($B$4*12,0))*F169),$B$3-(F169*$B$6-SUM(H$3:H169))))</f>
        <v>1210657.0512820513</v>
      </c>
    </row>
    <row r="170" spans="1:13" x14ac:dyDescent="0.6">
      <c r="A170" s="4"/>
      <c r="B170" s="4"/>
      <c r="C170" s="4"/>
      <c r="D170" s="4"/>
      <c r="E170" s="23" t="s">
        <v>37</v>
      </c>
      <c r="F170" s="14">
        <v>168</v>
      </c>
      <c r="G170" s="15">
        <f>IF(F170&gt;$B$14, 0, IF(LOWER(LEFT($B$2,1))="s", ($B$3-($F170-1)*($B$3/ROUND($B$4*12,0)+$B$10))*($B$5/12),IF(F170=$B$14, ($B$3-((F170-1)*($B$10+$B$6)-SUM(G$3:G169)))*($B$5/12), ABS(IPMT($B$5/12,$F170,NPER($B$5/12,-ABS($B$6)-$B$10,$B$3,0),$B$3)))))</f>
        <v>4488.2216346153846</v>
      </c>
      <c r="H170" s="16">
        <f t="shared" si="6"/>
        <v>5538.7560096153848</v>
      </c>
      <c r="I170" s="15">
        <f t="shared" si="7"/>
        <v>1050.5343750000002</v>
      </c>
      <c r="J170" s="16">
        <f>IF(H170=0, 0, ROUND(SUM(H$3:H170)-SUM(G$3:G170),0))</f>
        <v>88245</v>
      </c>
      <c r="K170" s="16">
        <f t="shared" si="8"/>
        <v>230000</v>
      </c>
      <c r="L170" s="15">
        <f>IF($F170&gt;=$B$14, 0, IF(LOWER(LEFT($B$2,1))="s", ($B$3-($F170)*($B$3/ROUND($B$4*12,0)+$B$10)),$B$3-($F170*$B$6-SUM(G$3:G170)+$B$10*$F170)))</f>
        <v>971307.69230769225</v>
      </c>
      <c r="M170" s="15">
        <f>IF(F170&gt;=ROUND($B$4*12,0),0,IF(LOWER(LEFT($B$2,1))="s", ($B$3-($B$3/ROUND($B$4*12,0))*F170),$B$3-(F170*$B$6-SUM(H$3:H170))))</f>
        <v>1202307.6923076923</v>
      </c>
    </row>
    <row r="171" spans="1:13" x14ac:dyDescent="0.6">
      <c r="A171" s="4"/>
      <c r="B171" s="4"/>
      <c r="C171" s="4"/>
      <c r="D171" s="4"/>
      <c r="E171" s="23"/>
      <c r="F171" s="10">
        <v>169</v>
      </c>
      <c r="G171" s="11">
        <f>IF(F171&gt;$B$14, 0, IF(LOWER(LEFT($B$2,1))="s", ($B$3-($F171-1)*($B$3/ROUND($B$4*12,0)+$B$10))*($B$5/12),IF(F171=$B$14, ($B$3-((F171-1)*($B$10+$B$6)-SUM(G$3:G170)))*($B$5/12), ABS(IPMT($B$5/12,$F171,NPER($B$5/12,-ABS($B$6)-$B$10,$B$3,0),$B$3)))))</f>
        <v>4443.7326923076926</v>
      </c>
      <c r="H171" s="12">
        <f t="shared" si="6"/>
        <v>5500.5576923076924</v>
      </c>
      <c r="I171" s="11">
        <f t="shared" si="7"/>
        <v>1056.8249999999998</v>
      </c>
      <c r="J171" s="12">
        <f>IF(H171=0, 0, ROUND(SUM(H$3:H171)-SUM(G$3:G171),0))</f>
        <v>89302</v>
      </c>
      <c r="K171" s="12" t="str">
        <f t="shared" si="8"/>
        <v/>
      </c>
      <c r="L171" s="11">
        <f>IF($F171&gt;=$B$14, 0, IF(LOWER(LEFT($B$2,1))="s", ($B$3-($F171)*($B$3/ROUND($B$4*12,0)+$B$10)),$B$3-($F171*$B$6-SUM(G$3:G171)+$B$10*$F171)))</f>
        <v>961583.33333333326</v>
      </c>
      <c r="M171" s="11">
        <f>IF(F171&gt;=ROUND($B$4*12,0),0,IF(LOWER(LEFT($B$2,1))="s", ($B$3-($B$3/ROUND($B$4*12,0))*F171),$B$3-(F171*$B$6-SUM(H$3:H171))))</f>
        <v>1193958.3333333333</v>
      </c>
    </row>
    <row r="172" spans="1:13" x14ac:dyDescent="0.6">
      <c r="A172" s="4"/>
      <c r="B172" s="4"/>
      <c r="C172" s="4"/>
      <c r="D172" s="4"/>
      <c r="E172" s="23"/>
      <c r="F172" s="14">
        <v>170</v>
      </c>
      <c r="G172" s="15">
        <f>IF(F172&gt;$B$14, 0, IF(LOWER(LEFT($B$2,1))="s", ($B$3-($F172-1)*($B$3/ROUND($B$4*12,0)+$B$10))*($B$5/12),IF(F172=$B$14, ($B$3-((F172-1)*($B$10+$B$6)-SUM(G$3:G171)))*($B$5/12), ABS(IPMT($B$5/12,$F172,NPER($B$5/12,-ABS($B$6)-$B$10,$B$3,0),$B$3)))))</f>
        <v>4399.2437499999996</v>
      </c>
      <c r="H172" s="16">
        <f t="shared" si="6"/>
        <v>5462.359375</v>
      </c>
      <c r="I172" s="15">
        <f t="shared" si="7"/>
        <v>1063.1156250000004</v>
      </c>
      <c r="J172" s="16">
        <f>IF(H172=0, 0, ROUND(SUM(H$3:H172)-SUM(G$3:G172),0))</f>
        <v>90365</v>
      </c>
      <c r="K172" s="16" t="str">
        <f t="shared" si="8"/>
        <v/>
      </c>
      <c r="L172" s="15">
        <f>IF($F172&gt;=$B$14, 0, IF(LOWER(LEFT($B$2,1))="s", ($B$3-($F172)*($B$3/ROUND($B$4*12,0)+$B$10)),$B$3-($F172*$B$6-SUM(G$3:G172)+$B$10*$F172)))</f>
        <v>951858.97435897426</v>
      </c>
      <c r="M172" s="15">
        <f>IF(F172&gt;=ROUND($B$4*12,0),0,IF(LOWER(LEFT($B$2,1))="s", ($B$3-($B$3/ROUND($B$4*12,0))*F172),$B$3-(F172*$B$6-SUM(H$3:H172))))</f>
        <v>1185608.9743589743</v>
      </c>
    </row>
    <row r="173" spans="1:13" x14ac:dyDescent="0.6">
      <c r="A173" s="4"/>
      <c r="B173" s="4"/>
      <c r="C173" s="4"/>
      <c r="D173" s="4"/>
      <c r="E173" s="23"/>
      <c r="F173" s="10">
        <v>171</v>
      </c>
      <c r="G173" s="11">
        <f>IF(F173&gt;$B$14, 0, IF(LOWER(LEFT($B$2,1))="s", ($B$3-($F173-1)*($B$3/ROUND($B$4*12,0)+$B$10))*($B$5/12),IF(F173=$B$14, ($B$3-((F173-1)*($B$10+$B$6)-SUM(G$3:G172)))*($B$5/12), ABS(IPMT($B$5/12,$F173,NPER($B$5/12,-ABS($B$6)-$B$10,$B$3,0),$B$3)))))</f>
        <v>4354.7548076923076</v>
      </c>
      <c r="H173" s="12">
        <f t="shared" si="6"/>
        <v>5424.1610576923076</v>
      </c>
      <c r="I173" s="11">
        <f t="shared" si="7"/>
        <v>1069.40625</v>
      </c>
      <c r="J173" s="12">
        <f>IF(H173=0, 0, ROUND(SUM(H$3:H173)-SUM(G$3:G173),0))</f>
        <v>91434</v>
      </c>
      <c r="K173" s="12" t="str">
        <f t="shared" si="8"/>
        <v/>
      </c>
      <c r="L173" s="11">
        <f>IF($F173&gt;=$B$14, 0, IF(LOWER(LEFT($B$2,1))="s", ($B$3-($F173)*($B$3/ROUND($B$4*12,0)+$B$10)),$B$3-($F173*$B$6-SUM(G$3:G173)+$B$10*$F173)))</f>
        <v>942134.61538461526</v>
      </c>
      <c r="M173" s="11">
        <f>IF(F173&gt;=ROUND($B$4*12,0),0,IF(LOWER(LEFT($B$2,1))="s", ($B$3-($B$3/ROUND($B$4*12,0))*F173),$B$3-(F173*$B$6-SUM(H$3:H173))))</f>
        <v>1177259.6153846153</v>
      </c>
    </row>
    <row r="174" spans="1:13" x14ac:dyDescent="0.6">
      <c r="A174" s="4"/>
      <c r="B174" s="4"/>
      <c r="C174" s="4"/>
      <c r="D174" s="4"/>
      <c r="E174" s="23"/>
      <c r="F174" s="14">
        <v>172</v>
      </c>
      <c r="G174" s="15">
        <f>IF(F174&gt;$B$14, 0, IF(LOWER(LEFT($B$2,1))="s", ($B$3-($F174-1)*($B$3/ROUND($B$4*12,0)+$B$10))*($B$5/12),IF(F174=$B$14, ($B$3-((F174-1)*($B$10+$B$6)-SUM(G$3:G173)))*($B$5/12), ABS(IPMT($B$5/12,$F174,NPER($B$5/12,-ABS($B$6)-$B$10,$B$3,0),$B$3)))))</f>
        <v>4310.2658653846147</v>
      </c>
      <c r="H174" s="16">
        <f t="shared" si="6"/>
        <v>5385.9627403846152</v>
      </c>
      <c r="I174" s="15">
        <f t="shared" si="7"/>
        <v>1075.6968750000005</v>
      </c>
      <c r="J174" s="16">
        <f>IF(H174=0, 0, ROUND(SUM(H$3:H174)-SUM(G$3:G174),0))</f>
        <v>92510</v>
      </c>
      <c r="K174" s="16" t="str">
        <f t="shared" si="8"/>
        <v/>
      </c>
      <c r="L174" s="15">
        <f>IF($F174&gt;=$B$14, 0, IF(LOWER(LEFT($B$2,1))="s", ($B$3-($F174)*($B$3/ROUND($B$4*12,0)+$B$10)),$B$3-($F174*$B$6-SUM(G$3:G174)+$B$10*$F174)))</f>
        <v>932410.25641025626</v>
      </c>
      <c r="M174" s="15">
        <f>IF(F174&gt;=ROUND($B$4*12,0),0,IF(LOWER(LEFT($B$2,1))="s", ($B$3-($B$3/ROUND($B$4*12,0))*F174),$B$3-(F174*$B$6-SUM(H$3:H174))))</f>
        <v>1168910.2564102563</v>
      </c>
    </row>
    <row r="175" spans="1:13" x14ac:dyDescent="0.6">
      <c r="A175" s="4"/>
      <c r="B175" s="4"/>
      <c r="C175" s="4"/>
      <c r="D175" s="4"/>
      <c r="E175" s="23"/>
      <c r="F175" s="10">
        <v>173</v>
      </c>
      <c r="G175" s="11">
        <f>IF(F175&gt;$B$14, 0, IF(LOWER(LEFT($B$2,1))="s", ($B$3-($F175-1)*($B$3/ROUND($B$4*12,0)+$B$10))*($B$5/12),IF(F175=$B$14, ($B$3-((F175-1)*($B$10+$B$6)-SUM(G$3:G174)))*($B$5/12), ABS(IPMT($B$5/12,$F175,NPER($B$5/12,-ABS($B$6)-$B$10,$B$3,0),$B$3)))))</f>
        <v>4265.7769230769227</v>
      </c>
      <c r="H175" s="12">
        <f t="shared" si="6"/>
        <v>5347.7644230769229</v>
      </c>
      <c r="I175" s="11">
        <f t="shared" si="7"/>
        <v>1081.9875000000002</v>
      </c>
      <c r="J175" s="12">
        <f>IF(H175=0, 0, ROUND(SUM(H$3:H175)-SUM(G$3:G175),0))</f>
        <v>93592</v>
      </c>
      <c r="K175" s="12" t="str">
        <f t="shared" si="8"/>
        <v/>
      </c>
      <c r="L175" s="11">
        <f>IF($F175&gt;=$B$14, 0, IF(LOWER(LEFT($B$2,1))="s", ($B$3-($F175)*($B$3/ROUND($B$4*12,0)+$B$10)),$B$3-($F175*$B$6-SUM(G$3:G175)+$B$10*$F175)))</f>
        <v>922685.8974358975</v>
      </c>
      <c r="M175" s="11">
        <f>IF(F175&gt;=ROUND($B$4*12,0),0,IF(LOWER(LEFT($B$2,1))="s", ($B$3-($B$3/ROUND($B$4*12,0))*F175),$B$3-(F175*$B$6-SUM(H$3:H175))))</f>
        <v>1160560.8974358975</v>
      </c>
    </row>
    <row r="176" spans="1:13" x14ac:dyDescent="0.6">
      <c r="A176" s="4"/>
      <c r="B176" s="4"/>
      <c r="C176" s="4"/>
      <c r="D176" s="4"/>
      <c r="E176" s="23"/>
      <c r="F176" s="14">
        <v>174</v>
      </c>
      <c r="G176" s="15">
        <f>IF(F176&gt;$B$14, 0, IF(LOWER(LEFT($B$2,1))="s", ($B$3-($F176-1)*($B$3/ROUND($B$4*12,0)+$B$10))*($B$5/12),IF(F176=$B$14, ($B$3-((F176-1)*($B$10+$B$6)-SUM(G$3:G175)))*($B$5/12), ABS(IPMT($B$5/12,$F176,NPER($B$5/12,-ABS($B$6)-$B$10,$B$3,0),$B$3)))))</f>
        <v>4221.2879807692307</v>
      </c>
      <c r="H176" s="16">
        <f t="shared" si="6"/>
        <v>5309.5661057692314</v>
      </c>
      <c r="I176" s="15">
        <f t="shared" si="7"/>
        <v>1088.2781250000007</v>
      </c>
      <c r="J176" s="16">
        <f>IF(H176=0, 0, ROUND(SUM(H$3:H176)-SUM(G$3:G176),0))</f>
        <v>94680</v>
      </c>
      <c r="K176" s="16" t="str">
        <f t="shared" si="8"/>
        <v/>
      </c>
      <c r="L176" s="15">
        <f>IF($F176&gt;=$B$14, 0, IF(LOWER(LEFT($B$2,1))="s", ($B$3-($F176)*($B$3/ROUND($B$4*12,0)+$B$10)),$B$3-($F176*$B$6-SUM(G$3:G176)+$B$10*$F176)))</f>
        <v>912961.5384615385</v>
      </c>
      <c r="M176" s="15">
        <f>IF(F176&gt;=ROUND($B$4*12,0),0,IF(LOWER(LEFT($B$2,1))="s", ($B$3-($B$3/ROUND($B$4*12,0))*F176),$B$3-(F176*$B$6-SUM(H$3:H176))))</f>
        <v>1152211.5384615385</v>
      </c>
    </row>
    <row r="177" spans="1:13" x14ac:dyDescent="0.6">
      <c r="A177" s="4"/>
      <c r="B177" s="4"/>
      <c r="C177" s="4"/>
      <c r="D177" s="4"/>
      <c r="E177" s="23"/>
      <c r="F177" s="10">
        <v>175</v>
      </c>
      <c r="G177" s="11">
        <f>IF(F177&gt;$B$14, 0, IF(LOWER(LEFT($B$2,1))="s", ($B$3-($F177-1)*($B$3/ROUND($B$4*12,0)+$B$10))*($B$5/12),IF(F177=$B$14, ($B$3-((F177-1)*($B$10+$B$6)-SUM(G$3:G176)))*($B$5/12), ABS(IPMT($B$5/12,$F177,NPER($B$5/12,-ABS($B$6)-$B$10,$B$3,0),$B$3)))))</f>
        <v>4176.7990384615387</v>
      </c>
      <c r="H177" s="12">
        <f t="shared" si="6"/>
        <v>5271.367788461539</v>
      </c>
      <c r="I177" s="11">
        <f t="shared" si="7"/>
        <v>1094.5687500000004</v>
      </c>
      <c r="J177" s="12">
        <f>IF(H177=0, 0, ROUND(SUM(H$3:H177)-SUM(G$3:G177),0))</f>
        <v>95775</v>
      </c>
      <c r="K177" s="12">
        <f t="shared" si="8"/>
        <v>240000</v>
      </c>
      <c r="L177" s="11">
        <f>IF($F177&gt;=$B$14, 0, IF(LOWER(LEFT($B$2,1))="s", ($B$3-($F177)*($B$3/ROUND($B$4*12,0)+$B$10)),$B$3-($F177*$B$6-SUM(G$3:G177)+$B$10*$F177)))</f>
        <v>903237.1794871795</v>
      </c>
      <c r="M177" s="11">
        <f>IF(F177&gt;=ROUND($B$4*12,0),0,IF(LOWER(LEFT($B$2,1))="s", ($B$3-($B$3/ROUND($B$4*12,0))*F177),$B$3-(F177*$B$6-SUM(H$3:H177))))</f>
        <v>1143862.1794871795</v>
      </c>
    </row>
    <row r="178" spans="1:13" x14ac:dyDescent="0.6">
      <c r="A178" s="4"/>
      <c r="B178" s="4"/>
      <c r="C178" s="4"/>
      <c r="D178" s="4"/>
      <c r="E178" s="23"/>
      <c r="F178" s="14">
        <v>176</v>
      </c>
      <c r="G178" s="15">
        <f>IF(F178&gt;$B$14, 0, IF(LOWER(LEFT($B$2,1))="s", ($B$3-($F178-1)*($B$3/ROUND($B$4*12,0)+$B$10))*($B$5/12),IF(F178=$B$14, ($B$3-((F178-1)*($B$10+$B$6)-SUM(G$3:G177)))*($B$5/12), ABS(IPMT($B$5/12,$F178,NPER($B$5/12,-ABS($B$6)-$B$10,$B$3,0),$B$3)))))</f>
        <v>4132.3100961538466</v>
      </c>
      <c r="H178" s="16">
        <f t="shared" si="6"/>
        <v>5233.1694711538466</v>
      </c>
      <c r="I178" s="15">
        <f t="shared" si="7"/>
        <v>1100.859375</v>
      </c>
      <c r="J178" s="16">
        <f>IF(H178=0, 0, ROUND(SUM(H$3:H178)-SUM(G$3:G178),0))</f>
        <v>96876</v>
      </c>
      <c r="K178" s="16" t="str">
        <f t="shared" si="8"/>
        <v/>
      </c>
      <c r="L178" s="15">
        <f>IF($F178&gt;=$B$14, 0, IF(LOWER(LEFT($B$2,1))="s", ($B$3-($F178)*($B$3/ROUND($B$4*12,0)+$B$10)),$B$3-($F178*$B$6-SUM(G$3:G178)+$B$10*$F178)))</f>
        <v>893512.8205128205</v>
      </c>
      <c r="M178" s="15">
        <f>IF(F178&gt;=ROUND($B$4*12,0),0,IF(LOWER(LEFT($B$2,1))="s", ($B$3-($B$3/ROUND($B$4*12,0))*F178),$B$3-(F178*$B$6-SUM(H$3:H178))))</f>
        <v>1135512.8205128205</v>
      </c>
    </row>
    <row r="179" spans="1:13" x14ac:dyDescent="0.6">
      <c r="A179" s="4"/>
      <c r="B179" s="4"/>
      <c r="C179" s="4"/>
      <c r="D179" s="4"/>
      <c r="E179" s="23"/>
      <c r="F179" s="10">
        <v>177</v>
      </c>
      <c r="G179" s="11">
        <f>IF(F179&gt;$B$14, 0, IF(LOWER(LEFT($B$2,1))="s", ($B$3-($F179-1)*($B$3/ROUND($B$4*12,0)+$B$10))*($B$5/12),IF(F179=$B$14, ($B$3-((F179-1)*($B$10+$B$6)-SUM(G$3:G178)))*($B$5/12), ABS(IPMT($B$5/12,$F179,NPER($B$5/12,-ABS($B$6)-$B$10,$B$3,0),$B$3)))))</f>
        <v>4087.8211538461537</v>
      </c>
      <c r="H179" s="12">
        <f t="shared" si="6"/>
        <v>5194.9711538461543</v>
      </c>
      <c r="I179" s="11">
        <f t="shared" si="7"/>
        <v>1107.1500000000005</v>
      </c>
      <c r="J179" s="12">
        <f>IF(H179=0, 0, ROUND(SUM(H$3:H179)-SUM(G$3:G179),0))</f>
        <v>97983</v>
      </c>
      <c r="K179" s="12" t="str">
        <f t="shared" si="8"/>
        <v/>
      </c>
      <c r="L179" s="11">
        <f>IF($F179&gt;=$B$14, 0, IF(LOWER(LEFT($B$2,1))="s", ($B$3-($F179)*($B$3/ROUND($B$4*12,0)+$B$10)),$B$3-($F179*$B$6-SUM(G$3:G179)+$B$10*$F179)))</f>
        <v>883788.4615384615</v>
      </c>
      <c r="M179" s="11">
        <f>IF(F179&gt;=ROUND($B$4*12,0),0,IF(LOWER(LEFT($B$2,1))="s", ($B$3-($B$3/ROUND($B$4*12,0))*F179),$B$3-(F179*$B$6-SUM(H$3:H179))))</f>
        <v>1127163.4615384615</v>
      </c>
    </row>
    <row r="180" spans="1:13" x14ac:dyDescent="0.6">
      <c r="A180" s="4"/>
      <c r="B180" s="4"/>
      <c r="C180" s="4"/>
      <c r="D180" s="4"/>
      <c r="E180" s="23"/>
      <c r="F180" s="14">
        <v>178</v>
      </c>
      <c r="G180" s="15">
        <f>IF(F180&gt;$B$14, 0, IF(LOWER(LEFT($B$2,1))="s", ($B$3-($F180-1)*($B$3/ROUND($B$4*12,0)+$B$10))*($B$5/12),IF(F180=$B$14, ($B$3-((F180-1)*($B$10+$B$6)-SUM(G$3:G179)))*($B$5/12), ABS(IPMT($B$5/12,$F180,NPER($B$5/12,-ABS($B$6)-$B$10,$B$3,0),$B$3)))))</f>
        <v>4043.3322115384613</v>
      </c>
      <c r="H180" s="16">
        <f t="shared" si="6"/>
        <v>5156.7728365384619</v>
      </c>
      <c r="I180" s="15">
        <f t="shared" si="7"/>
        <v>1113.4406250000006</v>
      </c>
      <c r="J180" s="16">
        <f>IF(H180=0, 0, ROUND(SUM(H$3:H180)-SUM(G$3:G180),0))</f>
        <v>99096</v>
      </c>
      <c r="K180" s="16" t="str">
        <f t="shared" si="8"/>
        <v/>
      </c>
      <c r="L180" s="15">
        <f>IF($F180&gt;=$B$14, 0, IF(LOWER(LEFT($B$2,1))="s", ($B$3-($F180)*($B$3/ROUND($B$4*12,0)+$B$10)),$B$3-($F180*$B$6-SUM(G$3:G180)+$B$10*$F180)))</f>
        <v>874064.1025641025</v>
      </c>
      <c r="M180" s="15">
        <f>IF(F180&gt;=ROUND($B$4*12,0),0,IF(LOWER(LEFT($B$2,1))="s", ($B$3-($B$3/ROUND($B$4*12,0))*F180),$B$3-(F180*$B$6-SUM(H$3:H180))))</f>
        <v>1118814.1025641025</v>
      </c>
    </row>
    <row r="181" spans="1:13" x14ac:dyDescent="0.6">
      <c r="A181" s="4"/>
      <c r="B181" s="4"/>
      <c r="C181" s="4"/>
      <c r="D181" s="4"/>
      <c r="E181" s="23"/>
      <c r="F181" s="10">
        <v>179</v>
      </c>
      <c r="G181" s="11">
        <f>IF(F181&gt;$B$14, 0, IF(LOWER(LEFT($B$2,1))="s", ($B$3-($F181-1)*($B$3/ROUND($B$4*12,0)+$B$10))*($B$5/12),IF(F181=$B$14, ($B$3-((F181-1)*($B$10+$B$6)-SUM(G$3:G180)))*($B$5/12), ABS(IPMT($B$5/12,$F181,NPER($B$5/12,-ABS($B$6)-$B$10,$B$3,0),$B$3)))))</f>
        <v>3998.8432692307692</v>
      </c>
      <c r="H181" s="12">
        <f t="shared" si="6"/>
        <v>5118.5745192307686</v>
      </c>
      <c r="I181" s="11">
        <f t="shared" si="7"/>
        <v>1119.7312499999994</v>
      </c>
      <c r="J181" s="12">
        <f>IF(H181=0, 0, ROUND(SUM(H$3:H181)-SUM(G$3:G181),0))</f>
        <v>100216</v>
      </c>
      <c r="K181" s="12" t="str">
        <f t="shared" si="8"/>
        <v/>
      </c>
      <c r="L181" s="11">
        <f>IF($F181&gt;=$B$14, 0, IF(LOWER(LEFT($B$2,1))="s", ($B$3-($F181)*($B$3/ROUND($B$4*12,0)+$B$10)),$B$3-($F181*$B$6-SUM(G$3:G181)+$B$10*$F181)))</f>
        <v>864339.74358974351</v>
      </c>
      <c r="M181" s="11">
        <f>IF(F181&gt;=ROUND($B$4*12,0),0,IF(LOWER(LEFT($B$2,1))="s", ($B$3-($B$3/ROUND($B$4*12,0))*F181),$B$3-(F181*$B$6-SUM(H$3:H181))))</f>
        <v>1110464.7435897435</v>
      </c>
    </row>
    <row r="182" spans="1:13" x14ac:dyDescent="0.6">
      <c r="A182" s="4"/>
      <c r="B182" s="4"/>
      <c r="C182" s="4"/>
      <c r="D182" s="4"/>
      <c r="E182" s="23" t="s">
        <v>38</v>
      </c>
      <c r="F182" s="14">
        <v>180</v>
      </c>
      <c r="G182" s="15">
        <f>IF(F182&gt;$B$14, 0, IF(LOWER(LEFT($B$2,1))="s", ($B$3-($F182-1)*($B$3/ROUND($B$4*12,0)+$B$10))*($B$5/12),IF(F182=$B$14, ($B$3-((F182-1)*($B$10+$B$6)-SUM(G$3:G181)))*($B$5/12), ABS(IPMT($B$5/12,$F182,NPER($B$5/12,-ABS($B$6)-$B$10,$B$3,0),$B$3)))))</f>
        <v>3954.3543269230768</v>
      </c>
      <c r="H182" s="16">
        <f t="shared" si="6"/>
        <v>5080.3762019230762</v>
      </c>
      <c r="I182" s="15">
        <f t="shared" si="7"/>
        <v>1126.0218749999995</v>
      </c>
      <c r="J182" s="16">
        <f>IF(H182=0, 0, ROUND(SUM(H$3:H182)-SUM(G$3:G182),0))</f>
        <v>101342</v>
      </c>
      <c r="K182" s="16" t="str">
        <f t="shared" si="8"/>
        <v/>
      </c>
      <c r="L182" s="15">
        <f>IF($F182&gt;=$B$14, 0, IF(LOWER(LEFT($B$2,1))="s", ($B$3-($F182)*($B$3/ROUND($B$4*12,0)+$B$10)),$B$3-($F182*$B$6-SUM(G$3:G182)+$B$10*$F182)))</f>
        <v>854615.38461538451</v>
      </c>
      <c r="M182" s="15">
        <f>IF(F182&gt;=ROUND($B$4*12,0),0,IF(LOWER(LEFT($B$2,1))="s", ($B$3-($B$3/ROUND($B$4*12,0))*F182),$B$3-(F182*$B$6-SUM(H$3:H182))))</f>
        <v>1102115.3846153845</v>
      </c>
    </row>
    <row r="183" spans="1:13" x14ac:dyDescent="0.6">
      <c r="A183" s="4"/>
      <c r="B183" s="4"/>
      <c r="C183" s="4"/>
      <c r="D183" s="4"/>
      <c r="E183" s="23"/>
      <c r="F183" s="10">
        <v>181</v>
      </c>
      <c r="G183" s="11">
        <f>IF(F183&gt;$B$14, 0, IF(LOWER(LEFT($B$2,1))="s", ($B$3-($F183-1)*($B$3/ROUND($B$4*12,0)+$B$10))*($B$5/12),IF(F183=$B$14, ($B$3-((F183-1)*($B$10+$B$6)-SUM(G$3:G182)))*($B$5/12), ABS(IPMT($B$5/12,$F183,NPER($B$5/12,-ABS($B$6)-$B$10,$B$3,0),$B$3)))))</f>
        <v>3909.8653846153843</v>
      </c>
      <c r="H183" s="12">
        <f t="shared" si="6"/>
        <v>5042.1778846153838</v>
      </c>
      <c r="I183" s="11">
        <f t="shared" si="7"/>
        <v>1132.3124999999995</v>
      </c>
      <c r="J183" s="12">
        <f>IF(H183=0, 0, ROUND(SUM(H$3:H183)-SUM(G$3:G183),0))</f>
        <v>102474</v>
      </c>
      <c r="K183" s="12" t="str">
        <f t="shared" si="8"/>
        <v/>
      </c>
      <c r="L183" s="11">
        <f>IF($F183&gt;=$B$14, 0, IF(LOWER(LEFT($B$2,1))="s", ($B$3-($F183)*($B$3/ROUND($B$4*12,0)+$B$10)),$B$3-($F183*$B$6-SUM(G$3:G183)+$B$10*$F183)))</f>
        <v>844891.02564102551</v>
      </c>
      <c r="M183" s="11">
        <f>IF(F183&gt;=ROUND($B$4*12,0),0,IF(LOWER(LEFT($B$2,1))="s", ($B$3-($B$3/ROUND($B$4*12,0))*F183),$B$3-(F183*$B$6-SUM(H$3:H183))))</f>
        <v>1093766.0256410255</v>
      </c>
    </row>
    <row r="184" spans="1:13" x14ac:dyDescent="0.6">
      <c r="A184" s="4"/>
      <c r="B184" s="4"/>
      <c r="C184" s="4"/>
      <c r="D184" s="4"/>
      <c r="E184" s="23"/>
      <c r="F184" s="14">
        <v>182</v>
      </c>
      <c r="G184" s="15">
        <f>IF(F184&gt;$B$14, 0, IF(LOWER(LEFT($B$2,1))="s", ($B$3-($F184-1)*($B$3/ROUND($B$4*12,0)+$B$10))*($B$5/12),IF(F184=$B$14, ($B$3-((F184-1)*($B$10+$B$6)-SUM(G$3:G183)))*($B$5/12), ABS(IPMT($B$5/12,$F184,NPER($B$5/12,-ABS($B$6)-$B$10,$B$3,0),$B$3)))))</f>
        <v>3865.3764423076918</v>
      </c>
      <c r="H184" s="16">
        <f t="shared" si="6"/>
        <v>5003.9795673076915</v>
      </c>
      <c r="I184" s="15">
        <f t="shared" si="7"/>
        <v>1138.6031249999996</v>
      </c>
      <c r="J184" s="16">
        <f>IF(H184=0, 0, ROUND(SUM(H$3:H184)-SUM(G$3:G184),0))</f>
        <v>103613</v>
      </c>
      <c r="K184" s="16">
        <f t="shared" si="8"/>
        <v>250000</v>
      </c>
      <c r="L184" s="15">
        <f>IF($F184&gt;=$B$14, 0, IF(LOWER(LEFT($B$2,1))="s", ($B$3-($F184)*($B$3/ROUND($B$4*12,0)+$B$10)),$B$3-($F184*$B$6-SUM(G$3:G184)+$B$10*$F184)))</f>
        <v>835166.66666666651</v>
      </c>
      <c r="M184" s="15">
        <f>IF(F184&gt;=ROUND($B$4*12,0),0,IF(LOWER(LEFT($B$2,1))="s", ($B$3-($B$3/ROUND($B$4*12,0))*F184),$B$3-(F184*$B$6-SUM(H$3:H184))))</f>
        <v>1085416.6666666665</v>
      </c>
    </row>
    <row r="185" spans="1:13" x14ac:dyDescent="0.6">
      <c r="A185" s="4"/>
      <c r="B185" s="4"/>
      <c r="C185" s="4"/>
      <c r="D185" s="4"/>
      <c r="E185" s="23"/>
      <c r="F185" s="10">
        <v>183</v>
      </c>
      <c r="G185" s="11">
        <f>IF(F185&gt;$B$14, 0, IF(LOWER(LEFT($B$2,1))="s", ($B$3-($F185-1)*($B$3/ROUND($B$4*12,0)+$B$10))*($B$5/12),IF(F185=$B$14, ($B$3-((F185-1)*($B$10+$B$6)-SUM(G$3:G184)))*($B$5/12), ABS(IPMT($B$5/12,$F185,NPER($B$5/12,-ABS($B$6)-$B$10,$B$3,0),$B$3)))))</f>
        <v>3820.8874999999994</v>
      </c>
      <c r="H185" s="12">
        <f t="shared" si="6"/>
        <v>4965.7812499999991</v>
      </c>
      <c r="I185" s="11">
        <f t="shared" si="7"/>
        <v>1144.8937499999997</v>
      </c>
      <c r="J185" s="12">
        <f>IF(H185=0, 0, ROUND(SUM(H$3:H185)-SUM(G$3:G185),0))</f>
        <v>104758</v>
      </c>
      <c r="K185" s="12" t="str">
        <f t="shared" si="8"/>
        <v/>
      </c>
      <c r="L185" s="11">
        <f>IF($F185&gt;=$B$14, 0, IF(LOWER(LEFT($B$2,1))="s", ($B$3-($F185)*($B$3/ROUND($B$4*12,0)+$B$10)),$B$3-($F185*$B$6-SUM(G$3:G185)+$B$10*$F185)))</f>
        <v>825442.30769230775</v>
      </c>
      <c r="M185" s="11">
        <f>IF(F185&gt;=ROUND($B$4*12,0),0,IF(LOWER(LEFT($B$2,1))="s", ($B$3-($B$3/ROUND($B$4*12,0))*F185),$B$3-(F185*$B$6-SUM(H$3:H185))))</f>
        <v>1077067.3076923077</v>
      </c>
    </row>
    <row r="186" spans="1:13" x14ac:dyDescent="0.6">
      <c r="A186" s="4"/>
      <c r="B186" s="4"/>
      <c r="C186" s="4"/>
      <c r="D186" s="4"/>
      <c r="E186" s="23"/>
      <c r="F186" s="14">
        <v>184</v>
      </c>
      <c r="G186" s="15">
        <f>IF(F186&gt;$B$14, 0, IF(LOWER(LEFT($B$2,1))="s", ($B$3-($F186-1)*($B$3/ROUND($B$4*12,0)+$B$10))*($B$5/12),IF(F186=$B$14, ($B$3-((F186-1)*($B$10+$B$6)-SUM(G$3:G185)))*($B$5/12), ABS(IPMT($B$5/12,$F186,NPER($B$5/12,-ABS($B$6)-$B$10,$B$3,0),$B$3)))))</f>
        <v>3776.3985576923078</v>
      </c>
      <c r="H186" s="16">
        <f t="shared" si="6"/>
        <v>4927.5829326923076</v>
      </c>
      <c r="I186" s="15">
        <f t="shared" si="7"/>
        <v>1151.1843749999998</v>
      </c>
      <c r="J186" s="16">
        <f>IF(H186=0, 0, ROUND(SUM(H$3:H186)-SUM(G$3:G186),0))</f>
        <v>105909</v>
      </c>
      <c r="K186" s="16" t="str">
        <f t="shared" si="8"/>
        <v/>
      </c>
      <c r="L186" s="15">
        <f>IF($F186&gt;=$B$14, 0, IF(LOWER(LEFT($B$2,1))="s", ($B$3-($F186)*($B$3/ROUND($B$4*12,0)+$B$10)),$B$3-($F186*$B$6-SUM(G$3:G186)+$B$10*$F186)))</f>
        <v>815717.94871794875</v>
      </c>
      <c r="M186" s="15">
        <f>IF(F186&gt;=ROUND($B$4*12,0),0,IF(LOWER(LEFT($B$2,1))="s", ($B$3-($B$3/ROUND($B$4*12,0))*F186),$B$3-(F186*$B$6-SUM(H$3:H186))))</f>
        <v>1068717.9487179487</v>
      </c>
    </row>
    <row r="187" spans="1:13" x14ac:dyDescent="0.6">
      <c r="A187" s="4"/>
      <c r="B187" s="4"/>
      <c r="C187" s="4"/>
      <c r="D187" s="4"/>
      <c r="E187" s="23"/>
      <c r="F187" s="10">
        <v>185</v>
      </c>
      <c r="G187" s="11">
        <f>IF(F187&gt;$B$14, 0, IF(LOWER(LEFT($B$2,1))="s", ($B$3-($F187-1)*($B$3/ROUND($B$4*12,0)+$B$10))*($B$5/12),IF(F187=$B$14, ($B$3-((F187-1)*($B$10+$B$6)-SUM(G$3:G186)))*($B$5/12), ABS(IPMT($B$5/12,$F187,NPER($B$5/12,-ABS($B$6)-$B$10,$B$3,0),$B$3)))))</f>
        <v>3731.9096153846158</v>
      </c>
      <c r="H187" s="12">
        <f t="shared" si="6"/>
        <v>4889.3846153846152</v>
      </c>
      <c r="I187" s="11">
        <f t="shared" si="7"/>
        <v>1157.4749999999995</v>
      </c>
      <c r="J187" s="12">
        <f>IF(H187=0, 0, ROUND(SUM(H$3:H187)-SUM(G$3:G187),0))</f>
        <v>107066</v>
      </c>
      <c r="K187" s="12" t="str">
        <f t="shared" si="8"/>
        <v/>
      </c>
      <c r="L187" s="11">
        <f>IF($F187&gt;=$B$14, 0, IF(LOWER(LEFT($B$2,1))="s", ($B$3-($F187)*($B$3/ROUND($B$4*12,0)+$B$10)),$B$3-($F187*$B$6-SUM(G$3:G187)+$B$10*$F187)))</f>
        <v>805993.58974358975</v>
      </c>
      <c r="M187" s="11">
        <f>IF(F187&gt;=ROUND($B$4*12,0),0,IF(LOWER(LEFT($B$2,1))="s", ($B$3-($B$3/ROUND($B$4*12,0))*F187),$B$3-(F187*$B$6-SUM(H$3:H187))))</f>
        <v>1060368.5897435897</v>
      </c>
    </row>
    <row r="188" spans="1:13" x14ac:dyDescent="0.6">
      <c r="A188" s="4"/>
      <c r="B188" s="4"/>
      <c r="C188" s="4"/>
      <c r="D188" s="4"/>
      <c r="E188" s="23"/>
      <c r="F188" s="14">
        <v>186</v>
      </c>
      <c r="G188" s="15">
        <f>IF(F188&gt;$B$14, 0, IF(LOWER(LEFT($B$2,1))="s", ($B$3-($F188-1)*($B$3/ROUND($B$4*12,0)+$B$10))*($B$5/12),IF(F188=$B$14, ($B$3-((F188-1)*($B$10+$B$6)-SUM(G$3:G187)))*($B$5/12), ABS(IPMT($B$5/12,$F188,NPER($B$5/12,-ABS($B$6)-$B$10,$B$3,0),$B$3)))))</f>
        <v>3687.4206730769233</v>
      </c>
      <c r="H188" s="16">
        <f t="shared" si="6"/>
        <v>4851.1862980769229</v>
      </c>
      <c r="I188" s="15">
        <f t="shared" si="7"/>
        <v>1163.7656249999995</v>
      </c>
      <c r="J188" s="16">
        <f>IF(H188=0, 0, ROUND(SUM(H$3:H188)-SUM(G$3:G188),0))</f>
        <v>108230</v>
      </c>
      <c r="K188" s="16" t="str">
        <f t="shared" si="8"/>
        <v/>
      </c>
      <c r="L188" s="15">
        <f>IF($F188&gt;=$B$14, 0, IF(LOWER(LEFT($B$2,1))="s", ($B$3-($F188)*($B$3/ROUND($B$4*12,0)+$B$10)),$B$3-($F188*$B$6-SUM(G$3:G188)+$B$10*$F188)))</f>
        <v>796269.23076923075</v>
      </c>
      <c r="M188" s="15">
        <f>IF(F188&gt;=ROUND($B$4*12,0),0,IF(LOWER(LEFT($B$2,1))="s", ($B$3-($B$3/ROUND($B$4*12,0))*F188),$B$3-(F188*$B$6-SUM(H$3:H188))))</f>
        <v>1052019.2307692308</v>
      </c>
    </row>
    <row r="189" spans="1:13" x14ac:dyDescent="0.6">
      <c r="A189" s="4"/>
      <c r="B189" s="4"/>
      <c r="C189" s="4"/>
      <c r="D189" s="4"/>
      <c r="E189" s="23"/>
      <c r="F189" s="10">
        <v>187</v>
      </c>
      <c r="G189" s="11">
        <f>IF(F189&gt;$B$14, 0, IF(LOWER(LEFT($B$2,1))="s", ($B$3-($F189-1)*($B$3/ROUND($B$4*12,0)+$B$10))*($B$5/12),IF(F189=$B$14, ($B$3-((F189-1)*($B$10+$B$6)-SUM(G$3:G188)))*($B$5/12), ABS(IPMT($B$5/12,$F189,NPER($B$5/12,-ABS($B$6)-$B$10,$B$3,0),$B$3)))))</f>
        <v>3642.9317307692309</v>
      </c>
      <c r="H189" s="12">
        <f t="shared" si="6"/>
        <v>4812.9879807692305</v>
      </c>
      <c r="I189" s="11">
        <f t="shared" si="7"/>
        <v>1170.0562499999996</v>
      </c>
      <c r="J189" s="12">
        <f>IF(H189=0, 0, ROUND(SUM(H$3:H189)-SUM(G$3:G189),0))</f>
        <v>109400</v>
      </c>
      <c r="K189" s="12" t="str">
        <f t="shared" si="8"/>
        <v/>
      </c>
      <c r="L189" s="11">
        <f>IF($F189&gt;=$B$14, 0, IF(LOWER(LEFT($B$2,1))="s", ($B$3-($F189)*($B$3/ROUND($B$4*12,0)+$B$10)),$B$3-($F189*$B$6-SUM(G$3:G189)+$B$10*$F189)))</f>
        <v>786544.87179487175</v>
      </c>
      <c r="M189" s="11">
        <f>IF(F189&gt;=ROUND($B$4*12,0),0,IF(LOWER(LEFT($B$2,1))="s", ($B$3-($B$3/ROUND($B$4*12,0))*F189),$B$3-(F189*$B$6-SUM(H$3:H189))))</f>
        <v>1043669.8717948718</v>
      </c>
    </row>
    <row r="190" spans="1:13" x14ac:dyDescent="0.6">
      <c r="A190" s="4"/>
      <c r="B190" s="4"/>
      <c r="C190" s="4"/>
      <c r="D190" s="4"/>
      <c r="E190" s="23"/>
      <c r="F190" s="14">
        <v>188</v>
      </c>
      <c r="G190" s="15">
        <f>IF(F190&gt;$B$14, 0, IF(LOWER(LEFT($B$2,1))="s", ($B$3-($F190-1)*($B$3/ROUND($B$4*12,0)+$B$10))*($B$5/12),IF(F190=$B$14, ($B$3-((F190-1)*($B$10+$B$6)-SUM(G$3:G189)))*($B$5/12), ABS(IPMT($B$5/12,$F190,NPER($B$5/12,-ABS($B$6)-$B$10,$B$3,0),$B$3)))))</f>
        <v>3598.4427884615384</v>
      </c>
      <c r="H190" s="16">
        <f t="shared" si="6"/>
        <v>4774.7896634615381</v>
      </c>
      <c r="I190" s="15">
        <f t="shared" si="7"/>
        <v>1176.3468749999997</v>
      </c>
      <c r="J190" s="16">
        <f>IF(H190=0, 0, ROUND(SUM(H$3:H190)-SUM(G$3:G190),0))</f>
        <v>110577</v>
      </c>
      <c r="K190" s="16" t="str">
        <f t="shared" si="8"/>
        <v/>
      </c>
      <c r="L190" s="15">
        <f>IF($F190&gt;=$B$14, 0, IF(LOWER(LEFT($B$2,1))="s", ($B$3-($F190)*($B$3/ROUND($B$4*12,0)+$B$10)),$B$3-($F190*$B$6-SUM(G$3:G190)+$B$10*$F190)))</f>
        <v>776820.51282051275</v>
      </c>
      <c r="M190" s="15">
        <f>IF(F190&gt;=ROUND($B$4*12,0),0,IF(LOWER(LEFT($B$2,1))="s", ($B$3-($B$3/ROUND($B$4*12,0))*F190),$B$3-(F190*$B$6-SUM(H$3:H190))))</f>
        <v>1035320.5128205128</v>
      </c>
    </row>
    <row r="191" spans="1:13" x14ac:dyDescent="0.6">
      <c r="A191" s="4"/>
      <c r="B191" s="4"/>
      <c r="C191" s="4"/>
      <c r="D191" s="4"/>
      <c r="E191" s="23"/>
      <c r="F191" s="10">
        <v>189</v>
      </c>
      <c r="G191" s="11">
        <f>IF(F191&gt;$B$14, 0, IF(LOWER(LEFT($B$2,1))="s", ($B$3-($F191-1)*($B$3/ROUND($B$4*12,0)+$B$10))*($B$5/12),IF(F191=$B$14, ($B$3-((F191-1)*($B$10+$B$6)-SUM(G$3:G190)))*($B$5/12), ABS(IPMT($B$5/12,$F191,NPER($B$5/12,-ABS($B$6)-$B$10,$B$3,0),$B$3)))))</f>
        <v>3553.9538461538459</v>
      </c>
      <c r="H191" s="12">
        <f t="shared" si="6"/>
        <v>4736.5913461538457</v>
      </c>
      <c r="I191" s="11">
        <f t="shared" si="7"/>
        <v>1182.6374999999998</v>
      </c>
      <c r="J191" s="12">
        <f>IF(H191=0, 0, ROUND(SUM(H$3:H191)-SUM(G$3:G191),0))</f>
        <v>111759</v>
      </c>
      <c r="K191" s="12" t="str">
        <f t="shared" si="8"/>
        <v/>
      </c>
      <c r="L191" s="11">
        <f>IF($F191&gt;=$B$14, 0, IF(LOWER(LEFT($B$2,1))="s", ($B$3-($F191)*($B$3/ROUND($B$4*12,0)+$B$10)),$B$3-($F191*$B$6-SUM(G$3:G191)+$B$10*$F191)))</f>
        <v>767096.15384615376</v>
      </c>
      <c r="M191" s="11">
        <f>IF(F191&gt;=ROUND($B$4*12,0),0,IF(LOWER(LEFT($B$2,1))="s", ($B$3-($B$3/ROUND($B$4*12,0))*F191),$B$3-(F191*$B$6-SUM(H$3:H191))))</f>
        <v>1026971.1538461538</v>
      </c>
    </row>
    <row r="192" spans="1:13" x14ac:dyDescent="0.6">
      <c r="A192" s="4"/>
      <c r="B192" s="4"/>
      <c r="C192" s="4"/>
      <c r="D192" s="4"/>
      <c r="E192" s="23"/>
      <c r="F192" s="14">
        <v>190</v>
      </c>
      <c r="G192" s="15">
        <f>IF(F192&gt;$B$14, 0, IF(LOWER(LEFT($B$2,1))="s", ($B$3-($F192-1)*($B$3/ROUND($B$4*12,0)+$B$10))*($B$5/12),IF(F192=$B$14, ($B$3-((F192-1)*($B$10+$B$6)-SUM(G$3:G191)))*($B$5/12), ABS(IPMT($B$5/12,$F192,NPER($B$5/12,-ABS($B$6)-$B$10,$B$3,0),$B$3)))))</f>
        <v>3509.4649038461534</v>
      </c>
      <c r="H192" s="16">
        <f t="shared" si="6"/>
        <v>4698.3930288461534</v>
      </c>
      <c r="I192" s="15">
        <f t="shared" si="7"/>
        <v>1188.9281249999999</v>
      </c>
      <c r="J192" s="16">
        <f>IF(H192=0, 0, ROUND(SUM(H$3:H192)-SUM(G$3:G192),0))</f>
        <v>112948</v>
      </c>
      <c r="K192" s="16">
        <f t="shared" si="8"/>
        <v>260000</v>
      </c>
      <c r="L192" s="15">
        <f>IF($F192&gt;=$B$14, 0, IF(LOWER(LEFT($B$2,1))="s", ($B$3-($F192)*($B$3/ROUND($B$4*12,0)+$B$10)),$B$3-($F192*$B$6-SUM(G$3:G192)+$B$10*$F192)))</f>
        <v>757371.79487179476</v>
      </c>
      <c r="M192" s="15">
        <f>IF(F192&gt;=ROUND($B$4*12,0),0,IF(LOWER(LEFT($B$2,1))="s", ($B$3-($B$3/ROUND($B$4*12,0))*F192),$B$3-(F192*$B$6-SUM(H$3:H192))))</f>
        <v>1018621.7948717948</v>
      </c>
    </row>
    <row r="193" spans="1:13" x14ac:dyDescent="0.6">
      <c r="A193" s="4"/>
      <c r="B193" s="4"/>
      <c r="C193" s="4"/>
      <c r="D193" s="4"/>
      <c r="E193" s="23"/>
      <c r="F193" s="10">
        <v>191</v>
      </c>
      <c r="G193" s="11">
        <f>IF(F193&gt;$B$14, 0, IF(LOWER(LEFT($B$2,1))="s", ($B$3-($F193-1)*($B$3/ROUND($B$4*12,0)+$B$10))*($B$5/12),IF(F193=$B$14, ($B$3-((F193-1)*($B$10+$B$6)-SUM(G$3:G192)))*($B$5/12), ABS(IPMT($B$5/12,$F193,NPER($B$5/12,-ABS($B$6)-$B$10,$B$3,0),$B$3)))))</f>
        <v>3464.975961538461</v>
      </c>
      <c r="H193" s="12">
        <f t="shared" si="6"/>
        <v>4660.194711538461</v>
      </c>
      <c r="I193" s="11">
        <f t="shared" si="7"/>
        <v>1195.21875</v>
      </c>
      <c r="J193" s="12">
        <f>IF(H193=0, 0, ROUND(SUM(H$3:H193)-SUM(G$3:G193),0))</f>
        <v>114143</v>
      </c>
      <c r="K193" s="12" t="str">
        <f t="shared" si="8"/>
        <v/>
      </c>
      <c r="L193" s="11">
        <f>IF($F193&gt;=$B$14, 0, IF(LOWER(LEFT($B$2,1))="s", ($B$3-($F193)*($B$3/ROUND($B$4*12,0)+$B$10)),$B$3-($F193*$B$6-SUM(G$3:G193)+$B$10*$F193)))</f>
        <v>747647.43589743576</v>
      </c>
      <c r="M193" s="11">
        <f>IF(F193&gt;=ROUND($B$4*12,0),0,IF(LOWER(LEFT($B$2,1))="s", ($B$3-($B$3/ROUND($B$4*12,0))*F193),$B$3-(F193*$B$6-SUM(H$3:H193))))</f>
        <v>1010272.4358974358</v>
      </c>
    </row>
    <row r="194" spans="1:13" x14ac:dyDescent="0.6">
      <c r="A194" s="4"/>
      <c r="B194" s="4"/>
      <c r="C194" s="4"/>
      <c r="D194" s="4"/>
      <c r="E194" s="23" t="s">
        <v>39</v>
      </c>
      <c r="F194" s="14">
        <v>192</v>
      </c>
      <c r="G194" s="15">
        <f>IF(F194&gt;$B$14, 0, IF(LOWER(LEFT($B$2,1))="s", ($B$3-($F194-1)*($B$3/ROUND($B$4*12,0)+$B$10))*($B$5/12),IF(F194=$B$14, ($B$3-((F194-1)*($B$10+$B$6)-SUM(G$3:G193)))*($B$5/12), ABS(IPMT($B$5/12,$F194,NPER($B$5/12,-ABS($B$6)-$B$10,$B$3,0),$B$3)))))</f>
        <v>3420.4870192307685</v>
      </c>
      <c r="H194" s="16">
        <f t="shared" si="6"/>
        <v>4621.9963942307686</v>
      </c>
      <c r="I194" s="15">
        <f t="shared" si="7"/>
        <v>1201.5093750000001</v>
      </c>
      <c r="J194" s="16">
        <f>IF(H194=0, 0, ROUND(SUM(H$3:H194)-SUM(G$3:G194),0))</f>
        <v>115345</v>
      </c>
      <c r="K194" s="16" t="str">
        <f t="shared" si="8"/>
        <v/>
      </c>
      <c r="L194" s="15">
        <f>IF($F194&gt;=$B$14, 0, IF(LOWER(LEFT($B$2,1))="s", ($B$3-($F194)*($B$3/ROUND($B$4*12,0)+$B$10)),$B$3-($F194*$B$6-SUM(G$3:G194)+$B$10*$F194)))</f>
        <v>737923.07692307699</v>
      </c>
      <c r="M194" s="15">
        <f>IF(F194&gt;=ROUND($B$4*12,0),0,IF(LOWER(LEFT($B$2,1))="s", ($B$3-($B$3/ROUND($B$4*12,0))*F194),$B$3-(F194*$B$6-SUM(H$3:H194))))</f>
        <v>1001923.076923077</v>
      </c>
    </row>
    <row r="195" spans="1:13" x14ac:dyDescent="0.6">
      <c r="A195" s="4"/>
      <c r="B195" s="4"/>
      <c r="C195" s="4"/>
      <c r="D195" s="4"/>
      <c r="E195" s="23"/>
      <c r="F195" s="10">
        <v>193</v>
      </c>
      <c r="G195" s="11">
        <f>IF(F195&gt;$B$14, 0, IF(LOWER(LEFT($B$2,1))="s", ($B$3-($F195-1)*($B$3/ROUND($B$4*12,0)+$B$10))*($B$5/12),IF(F195=$B$14, ($B$3-((F195-1)*($B$10+$B$6)-SUM(G$3:G194)))*($B$5/12), ABS(IPMT($B$5/12,$F195,NPER($B$5/12,-ABS($B$6)-$B$10,$B$3,0),$B$3)))))</f>
        <v>3375.9980769230774</v>
      </c>
      <c r="H195" s="12">
        <f t="shared" ref="H195:H258" si="9">IF(OR($B$3&lt;=0,F195&gt;ROUND($B$4*12,0)),0,IF(LOWER(LEFT($B$2,1))="s", ($B$3-(F195-1)*($B$3/ROUND($B$4*12,0)))*($B$5/12),ABS(IPMT($B$5/12,F195,ROUND(NPER($B$5/12,-ABS($B$6),$B$3,0),0),$B$3))))</f>
        <v>4583.7980769230771</v>
      </c>
      <c r="I195" s="11">
        <f t="shared" ref="I195:I258" si="10">H195-G195</f>
        <v>1207.7999999999997</v>
      </c>
      <c r="J195" s="12">
        <f>IF(H195=0, 0, ROUND(SUM(H$3:H195)-SUM(G$3:G195),0))</f>
        <v>116553</v>
      </c>
      <c r="K195" s="12" t="str">
        <f t="shared" si="8"/>
        <v/>
      </c>
      <c r="L195" s="11">
        <f>IF($F195&gt;=$B$14, 0, IF(LOWER(LEFT($B$2,1))="s", ($B$3-($F195)*($B$3/ROUND($B$4*12,0)+$B$10)),$B$3-($F195*$B$6-SUM(G$3:G195)+$B$10*$F195)))</f>
        <v>728198.717948718</v>
      </c>
      <c r="M195" s="11">
        <f>IF(F195&gt;=ROUND($B$4*12,0),0,IF(LOWER(LEFT($B$2,1))="s", ($B$3-($B$3/ROUND($B$4*12,0))*F195),$B$3-(F195*$B$6-SUM(H$3:H195))))</f>
        <v>993573.717948718</v>
      </c>
    </row>
    <row r="196" spans="1:13" x14ac:dyDescent="0.6">
      <c r="A196" s="4"/>
      <c r="B196" s="4"/>
      <c r="C196" s="4"/>
      <c r="D196" s="4"/>
      <c r="E196" s="23"/>
      <c r="F196" s="14">
        <v>194</v>
      </c>
      <c r="G196" s="15">
        <f>IF(F196&gt;$B$14, 0, IF(LOWER(LEFT($B$2,1))="s", ($B$3-($F196-1)*($B$3/ROUND($B$4*12,0)+$B$10))*($B$5/12),IF(F196=$B$14, ($B$3-((F196-1)*($B$10+$B$6)-SUM(G$3:G195)))*($B$5/12), ABS(IPMT($B$5/12,$F196,NPER($B$5/12,-ABS($B$6)-$B$10,$B$3,0),$B$3)))))</f>
        <v>3331.5091346153849</v>
      </c>
      <c r="H196" s="16">
        <f t="shared" si="9"/>
        <v>4545.5997596153848</v>
      </c>
      <c r="I196" s="15">
        <f t="shared" si="10"/>
        <v>1214.0906249999998</v>
      </c>
      <c r="J196" s="16">
        <f>IF(H196=0, 0, ROUND(SUM(H$3:H196)-SUM(G$3:G196),0))</f>
        <v>117767</v>
      </c>
      <c r="K196" s="16" t="str">
        <f t="shared" ref="K196:K259" si="11">IF(F196&gt;$B$14,"",IF(ROUNDDOWN(M195-L195,-(LEN(TEXT(INT(ABS(M195-L195)),0))-2)) = ROUNDDOWN(M196-L196,-(LEN(TEXT(INT(ABS(M196-L196)),0))-2)), "", ROUNDDOWN(M196-L196,-(LEN(TEXT(INT(ABS(M196-L196)),0))-2))))</f>
        <v/>
      </c>
      <c r="L196" s="15">
        <f>IF($F196&gt;=$B$14, 0, IF(LOWER(LEFT($B$2,1))="s", ($B$3-($F196)*($B$3/ROUND($B$4*12,0)+$B$10)),$B$3-($F196*$B$6-SUM(G$3:G196)+$B$10*$F196)))</f>
        <v>718474.358974359</v>
      </c>
      <c r="M196" s="15">
        <f>IF(F196&gt;=ROUND($B$4*12,0),0,IF(LOWER(LEFT($B$2,1))="s", ($B$3-($B$3/ROUND($B$4*12,0))*F196),$B$3-(F196*$B$6-SUM(H$3:H196))))</f>
        <v>985224.358974359</v>
      </c>
    </row>
    <row r="197" spans="1:13" x14ac:dyDescent="0.6">
      <c r="A197" s="4"/>
      <c r="B197" s="4"/>
      <c r="C197" s="4"/>
      <c r="D197" s="4"/>
      <c r="E197" s="23"/>
      <c r="F197" s="10">
        <v>195</v>
      </c>
      <c r="G197" s="11">
        <f>IF(F197&gt;$B$14, 0, IF(LOWER(LEFT($B$2,1))="s", ($B$3-($F197-1)*($B$3/ROUND($B$4*12,0)+$B$10))*($B$5/12),IF(F197=$B$14, ($B$3-((F197-1)*($B$10+$B$6)-SUM(G$3:G196)))*($B$5/12), ABS(IPMT($B$5/12,$F197,NPER($B$5/12,-ABS($B$6)-$B$10,$B$3,0),$B$3)))))</f>
        <v>3287.0201923076925</v>
      </c>
      <c r="H197" s="12">
        <f t="shared" si="9"/>
        <v>4507.4014423076924</v>
      </c>
      <c r="I197" s="11">
        <f t="shared" si="10"/>
        <v>1220.3812499999999</v>
      </c>
      <c r="J197" s="12">
        <f>IF(H197=0, 0, ROUND(SUM(H$3:H197)-SUM(G$3:G197),0))</f>
        <v>118987</v>
      </c>
      <c r="K197" s="12" t="str">
        <f t="shared" si="11"/>
        <v/>
      </c>
      <c r="L197" s="11">
        <f>IF($F197&gt;=$B$14, 0, IF(LOWER(LEFT($B$2,1))="s", ($B$3-($F197)*($B$3/ROUND($B$4*12,0)+$B$10)),$B$3-($F197*$B$6-SUM(G$3:G197)+$B$10*$F197)))</f>
        <v>708750</v>
      </c>
      <c r="M197" s="11">
        <f>IF(F197&gt;=ROUND($B$4*12,0),0,IF(LOWER(LEFT($B$2,1))="s", ($B$3-($B$3/ROUND($B$4*12,0))*F197),$B$3-(F197*$B$6-SUM(H$3:H197))))</f>
        <v>976875</v>
      </c>
    </row>
    <row r="198" spans="1:13" x14ac:dyDescent="0.6">
      <c r="A198" s="4"/>
      <c r="B198" s="4"/>
      <c r="C198" s="4"/>
      <c r="D198" s="4"/>
      <c r="E198" s="23"/>
      <c r="F198" s="14">
        <v>196</v>
      </c>
      <c r="G198" s="15">
        <f>IF(F198&gt;$B$14, 0, IF(LOWER(LEFT($B$2,1))="s", ($B$3-($F198-1)*($B$3/ROUND($B$4*12,0)+$B$10))*($B$5/12),IF(F198=$B$14, ($B$3-((F198-1)*($B$10+$B$6)-SUM(G$3:G197)))*($B$5/12), ABS(IPMT($B$5/12,$F198,NPER($B$5/12,-ABS($B$6)-$B$10,$B$3,0),$B$3)))))</f>
        <v>3242.53125</v>
      </c>
      <c r="H198" s="16">
        <f t="shared" si="9"/>
        <v>4469.203125</v>
      </c>
      <c r="I198" s="15">
        <f t="shared" si="10"/>
        <v>1226.671875</v>
      </c>
      <c r="J198" s="16">
        <f>IF(H198=0, 0, ROUND(SUM(H$3:H198)-SUM(G$3:G198),0))</f>
        <v>120214</v>
      </c>
      <c r="K198" s="16" t="str">
        <f t="shared" si="11"/>
        <v/>
      </c>
      <c r="L198" s="15">
        <f>IF($F198&gt;=$B$14, 0, IF(LOWER(LEFT($B$2,1))="s", ($B$3-($F198)*($B$3/ROUND($B$4*12,0)+$B$10)),$B$3-($F198*$B$6-SUM(G$3:G198)+$B$10*$F198)))</f>
        <v>699025.641025641</v>
      </c>
      <c r="M198" s="15">
        <f>IF(F198&gt;=ROUND($B$4*12,0),0,IF(LOWER(LEFT($B$2,1))="s", ($B$3-($B$3/ROUND($B$4*12,0))*F198),$B$3-(F198*$B$6-SUM(H$3:H198))))</f>
        <v>968525.641025641</v>
      </c>
    </row>
    <row r="199" spans="1:13" x14ac:dyDescent="0.6">
      <c r="A199" s="4"/>
      <c r="B199" s="4"/>
      <c r="C199" s="4"/>
      <c r="D199" s="4"/>
      <c r="E199" s="23"/>
      <c r="F199" s="10">
        <v>197</v>
      </c>
      <c r="G199" s="11">
        <f>IF(F199&gt;$B$14, 0, IF(LOWER(LEFT($B$2,1))="s", ($B$3-($F199-1)*($B$3/ROUND($B$4*12,0)+$B$10))*($B$5/12),IF(F199=$B$14, ($B$3-((F199-1)*($B$10+$B$6)-SUM(G$3:G198)))*($B$5/12), ABS(IPMT($B$5/12,$F199,NPER($B$5/12,-ABS($B$6)-$B$10,$B$3,0),$B$3)))))</f>
        <v>3198.0423076923075</v>
      </c>
      <c r="H199" s="12">
        <f t="shared" si="9"/>
        <v>4431.0048076923076</v>
      </c>
      <c r="I199" s="11">
        <f t="shared" si="10"/>
        <v>1232.9625000000001</v>
      </c>
      <c r="J199" s="12">
        <f>IF(H199=0, 0, ROUND(SUM(H$3:H199)-SUM(G$3:G199),0))</f>
        <v>121447</v>
      </c>
      <c r="K199" s="12">
        <f t="shared" si="11"/>
        <v>270000</v>
      </c>
      <c r="L199" s="11">
        <f>IF($F199&gt;=$B$14, 0, IF(LOWER(LEFT($B$2,1))="s", ($B$3-($F199)*($B$3/ROUND($B$4*12,0)+$B$10)),$B$3-($F199*$B$6-SUM(G$3:G199)+$B$10*$F199)))</f>
        <v>689301.282051282</v>
      </c>
      <c r="M199" s="11">
        <f>IF(F199&gt;=ROUND($B$4*12,0),0,IF(LOWER(LEFT($B$2,1))="s", ($B$3-($B$3/ROUND($B$4*12,0))*F199),$B$3-(F199*$B$6-SUM(H$3:H199))))</f>
        <v>960176.282051282</v>
      </c>
    </row>
    <row r="200" spans="1:13" x14ac:dyDescent="0.6">
      <c r="A200" s="4"/>
      <c r="B200" s="4"/>
      <c r="C200" s="4"/>
      <c r="D200" s="4"/>
      <c r="E200" s="23"/>
      <c r="F200" s="14">
        <v>198</v>
      </c>
      <c r="G200" s="15">
        <f>IF(F200&gt;$B$14, 0, IF(LOWER(LEFT($B$2,1))="s", ($B$3-($F200-1)*($B$3/ROUND($B$4*12,0)+$B$10))*($B$5/12),IF(F200=$B$14, ($B$3-((F200-1)*($B$10+$B$6)-SUM(G$3:G199)))*($B$5/12), ABS(IPMT($B$5/12,$F200,NPER($B$5/12,-ABS($B$6)-$B$10,$B$3,0),$B$3)))))</f>
        <v>3153.5533653846151</v>
      </c>
      <c r="H200" s="16">
        <f t="shared" si="9"/>
        <v>4392.8064903846152</v>
      </c>
      <c r="I200" s="15">
        <f t="shared" si="10"/>
        <v>1239.2531250000002</v>
      </c>
      <c r="J200" s="16">
        <f>IF(H200=0, 0, ROUND(SUM(H$3:H200)-SUM(G$3:G200),0))</f>
        <v>122686</v>
      </c>
      <c r="K200" s="16" t="str">
        <f t="shared" si="11"/>
        <v/>
      </c>
      <c r="L200" s="15">
        <f>IF($F200&gt;=$B$14, 0, IF(LOWER(LEFT($B$2,1))="s", ($B$3-($F200)*($B$3/ROUND($B$4*12,0)+$B$10)),$B$3-($F200*$B$6-SUM(G$3:G200)+$B$10*$F200)))</f>
        <v>679576.92307692301</v>
      </c>
      <c r="M200" s="15">
        <f>IF(F200&gt;=ROUND($B$4*12,0),0,IF(LOWER(LEFT($B$2,1))="s", ($B$3-($B$3/ROUND($B$4*12,0))*F200),$B$3-(F200*$B$6-SUM(H$3:H200))))</f>
        <v>951826.92307692301</v>
      </c>
    </row>
    <row r="201" spans="1:13" x14ac:dyDescent="0.6">
      <c r="A201" s="4"/>
      <c r="B201" s="4"/>
      <c r="C201" s="4"/>
      <c r="D201" s="4"/>
      <c r="E201" s="23"/>
      <c r="F201" s="10">
        <v>199</v>
      </c>
      <c r="G201" s="11">
        <f>IF(F201&gt;$B$14, 0, IF(LOWER(LEFT($B$2,1))="s", ($B$3-($F201-1)*($B$3/ROUND($B$4*12,0)+$B$10))*($B$5/12),IF(F201=$B$14, ($B$3-((F201-1)*($B$10+$B$6)-SUM(G$3:G200)))*($B$5/12), ABS(IPMT($B$5/12,$F201,NPER($B$5/12,-ABS($B$6)-$B$10,$B$3,0),$B$3)))))</f>
        <v>3109.0644230769226</v>
      </c>
      <c r="H201" s="12">
        <f t="shared" si="9"/>
        <v>4354.6081730769229</v>
      </c>
      <c r="I201" s="11">
        <f t="shared" si="10"/>
        <v>1245.5437500000003</v>
      </c>
      <c r="J201" s="12">
        <f>IF(H201=0, 0, ROUND(SUM(H$3:H201)-SUM(G$3:G201),0))</f>
        <v>123932</v>
      </c>
      <c r="K201" s="12" t="str">
        <f t="shared" si="11"/>
        <v/>
      </c>
      <c r="L201" s="11">
        <f>IF($F201&gt;=$B$14, 0, IF(LOWER(LEFT($B$2,1))="s", ($B$3-($F201)*($B$3/ROUND($B$4*12,0)+$B$10)),$B$3-($F201*$B$6-SUM(G$3:G201)+$B$10*$F201)))</f>
        <v>669852.56410256401</v>
      </c>
      <c r="M201" s="11">
        <f>IF(F201&gt;=ROUND($B$4*12,0),0,IF(LOWER(LEFT($B$2,1))="s", ($B$3-($B$3/ROUND($B$4*12,0))*F201),$B$3-(F201*$B$6-SUM(H$3:H201))))</f>
        <v>943477.56410256401</v>
      </c>
    </row>
    <row r="202" spans="1:13" x14ac:dyDescent="0.6">
      <c r="A202" s="4"/>
      <c r="B202" s="4"/>
      <c r="C202" s="4"/>
      <c r="D202" s="4"/>
      <c r="E202" s="23"/>
      <c r="F202" s="14">
        <v>200</v>
      </c>
      <c r="G202" s="15">
        <f>IF(F202&gt;$B$14, 0, IF(LOWER(LEFT($B$2,1))="s", ($B$3-($F202-1)*($B$3/ROUND($B$4*12,0)+$B$10))*($B$5/12),IF(F202=$B$14, ($B$3-((F202-1)*($B$10+$B$6)-SUM(G$3:G201)))*($B$5/12), ABS(IPMT($B$5/12,$F202,NPER($B$5/12,-ABS($B$6)-$B$10,$B$3,0),$B$3)))))</f>
        <v>3064.5754807692306</v>
      </c>
      <c r="H202" s="16">
        <f t="shared" si="9"/>
        <v>4316.4098557692305</v>
      </c>
      <c r="I202" s="15">
        <f t="shared" si="10"/>
        <v>1251.8343749999999</v>
      </c>
      <c r="J202" s="16">
        <f>IF(H202=0, 0, ROUND(SUM(H$3:H202)-SUM(G$3:G202),0))</f>
        <v>125183</v>
      </c>
      <c r="K202" s="16" t="str">
        <f t="shared" si="11"/>
        <v/>
      </c>
      <c r="L202" s="15">
        <f>IF($F202&gt;=$B$14, 0, IF(LOWER(LEFT($B$2,1))="s", ($B$3-($F202)*($B$3/ROUND($B$4*12,0)+$B$10)),$B$3-($F202*$B$6-SUM(G$3:G202)+$B$10*$F202)))</f>
        <v>660128.20512820501</v>
      </c>
      <c r="M202" s="15">
        <f>IF(F202&gt;=ROUND($B$4*12,0),0,IF(LOWER(LEFT($B$2,1))="s", ($B$3-($B$3/ROUND($B$4*12,0))*F202),$B$3-(F202*$B$6-SUM(H$3:H202))))</f>
        <v>935128.20512820501</v>
      </c>
    </row>
    <row r="203" spans="1:13" x14ac:dyDescent="0.6">
      <c r="A203" s="4"/>
      <c r="B203" s="4"/>
      <c r="C203" s="4"/>
      <c r="D203" s="4"/>
      <c r="E203" s="23"/>
      <c r="F203" s="10">
        <v>201</v>
      </c>
      <c r="G203" s="11">
        <f>IF(F203&gt;$B$14, 0, IF(LOWER(LEFT($B$2,1))="s", ($B$3-($F203-1)*($B$3/ROUND($B$4*12,0)+$B$10))*($B$5/12),IF(F203=$B$14, ($B$3-((F203-1)*($B$10+$B$6)-SUM(G$3:G202)))*($B$5/12), ABS(IPMT($B$5/12,$F203,NPER($B$5/12,-ABS($B$6)-$B$10,$B$3,0),$B$3)))))</f>
        <v>3020.0865384615381</v>
      </c>
      <c r="H203" s="12">
        <f t="shared" si="9"/>
        <v>4278.2115384615381</v>
      </c>
      <c r="I203" s="11">
        <f t="shared" si="10"/>
        <v>1258.125</v>
      </c>
      <c r="J203" s="12">
        <f>IF(H203=0, 0, ROUND(SUM(H$3:H203)-SUM(G$3:G203),0))</f>
        <v>126442</v>
      </c>
      <c r="K203" s="12" t="str">
        <f t="shared" si="11"/>
        <v/>
      </c>
      <c r="L203" s="11">
        <f>IF($F203&gt;=$B$14, 0, IF(LOWER(LEFT($B$2,1))="s", ($B$3-($F203)*($B$3/ROUND($B$4*12,0)+$B$10)),$B$3-($F203*$B$6-SUM(G$3:G203)+$B$10*$F203)))</f>
        <v>650403.84615384601</v>
      </c>
      <c r="M203" s="11">
        <f>IF(F203&gt;=ROUND($B$4*12,0),0,IF(LOWER(LEFT($B$2,1))="s", ($B$3-($B$3/ROUND($B$4*12,0))*F203),$B$3-(F203*$B$6-SUM(H$3:H203))))</f>
        <v>926778.84615384601</v>
      </c>
    </row>
    <row r="204" spans="1:13" x14ac:dyDescent="0.6">
      <c r="A204" s="4"/>
      <c r="B204" s="4"/>
      <c r="C204" s="4"/>
      <c r="D204" s="4"/>
      <c r="E204" s="23"/>
      <c r="F204" s="14">
        <v>202</v>
      </c>
      <c r="G204" s="15">
        <f>IF(F204&gt;$B$14, 0, IF(LOWER(LEFT($B$2,1))="s", ($B$3-($F204-1)*($B$3/ROUND($B$4*12,0)+$B$10))*($B$5/12),IF(F204=$B$14, ($B$3-((F204-1)*($B$10+$B$6)-SUM(G$3:G203)))*($B$5/12), ABS(IPMT($B$5/12,$F204,NPER($B$5/12,-ABS($B$6)-$B$10,$B$3,0),$B$3)))))</f>
        <v>2975.5975961538456</v>
      </c>
      <c r="H204" s="16">
        <f t="shared" si="9"/>
        <v>4240.0132211538457</v>
      </c>
      <c r="I204" s="15">
        <f t="shared" si="10"/>
        <v>1264.4156250000001</v>
      </c>
      <c r="J204" s="16">
        <f>IF(H204=0, 0, ROUND(SUM(H$3:H204)-SUM(G$3:G204),0))</f>
        <v>127706</v>
      </c>
      <c r="K204" s="16" t="str">
        <f t="shared" si="11"/>
        <v/>
      </c>
      <c r="L204" s="15">
        <f>IF($F204&gt;=$B$14, 0, IF(LOWER(LEFT($B$2,1))="s", ($B$3-($F204)*($B$3/ROUND($B$4*12,0)+$B$10)),$B$3-($F204*$B$6-SUM(G$3:G204)+$B$10*$F204)))</f>
        <v>640679.48717948725</v>
      </c>
      <c r="M204" s="15">
        <f>IF(F204&gt;=ROUND($B$4*12,0),0,IF(LOWER(LEFT($B$2,1))="s", ($B$3-($B$3/ROUND($B$4*12,0))*F204),$B$3-(F204*$B$6-SUM(H$3:H204))))</f>
        <v>918429.48717948725</v>
      </c>
    </row>
    <row r="205" spans="1:13" x14ac:dyDescent="0.6">
      <c r="A205" s="4"/>
      <c r="B205" s="4"/>
      <c r="C205" s="4"/>
      <c r="D205" s="4"/>
      <c r="E205" s="23"/>
      <c r="F205" s="10">
        <v>203</v>
      </c>
      <c r="G205" s="11">
        <f>IF(F205&gt;$B$14, 0, IF(LOWER(LEFT($B$2,1))="s", ($B$3-($F205-1)*($B$3/ROUND($B$4*12,0)+$B$10))*($B$5/12),IF(F205=$B$14, ($B$3-((F205-1)*($B$10+$B$6)-SUM(G$3:G204)))*($B$5/12), ABS(IPMT($B$5/12,$F205,NPER($B$5/12,-ABS($B$6)-$B$10,$B$3,0),$B$3)))))</f>
        <v>2931.1086538461541</v>
      </c>
      <c r="H205" s="12">
        <f t="shared" si="9"/>
        <v>4201.8149038461543</v>
      </c>
      <c r="I205" s="11">
        <f t="shared" si="10"/>
        <v>1270.7062500000002</v>
      </c>
      <c r="J205" s="12">
        <f>IF(H205=0, 0, ROUND(SUM(H$3:H205)-SUM(G$3:G205),0))</f>
        <v>128977</v>
      </c>
      <c r="K205" s="12" t="str">
        <f t="shared" si="11"/>
        <v/>
      </c>
      <c r="L205" s="11">
        <f>IF($F205&gt;=$B$14, 0, IF(LOWER(LEFT($B$2,1))="s", ($B$3-($F205)*($B$3/ROUND($B$4*12,0)+$B$10)),$B$3-($F205*$B$6-SUM(G$3:G205)+$B$10*$F205)))</f>
        <v>630955.12820512825</v>
      </c>
      <c r="M205" s="11">
        <f>IF(F205&gt;=ROUND($B$4*12,0),0,IF(LOWER(LEFT($B$2,1))="s", ($B$3-($B$3/ROUND($B$4*12,0))*F205),$B$3-(F205*$B$6-SUM(H$3:H205))))</f>
        <v>910080.12820512825</v>
      </c>
    </row>
    <row r="206" spans="1:13" x14ac:dyDescent="0.6">
      <c r="A206" s="4"/>
      <c r="B206" s="4"/>
      <c r="C206" s="4"/>
      <c r="D206" s="4"/>
      <c r="E206" s="23" t="s">
        <v>40</v>
      </c>
      <c r="F206" s="14">
        <v>204</v>
      </c>
      <c r="G206" s="15">
        <f>IF(F206&gt;$B$14, 0, IF(LOWER(LEFT($B$2,1))="s", ($B$3-($F206-1)*($B$3/ROUND($B$4*12,0)+$B$10))*($B$5/12),IF(F206=$B$14, ($B$3-((F206-1)*($B$10+$B$6)-SUM(G$3:G205)))*($B$5/12), ABS(IPMT($B$5/12,$F206,NPER($B$5/12,-ABS($B$6)-$B$10,$B$3,0),$B$3)))))</f>
        <v>2886.6197115384616</v>
      </c>
      <c r="H206" s="16">
        <f t="shared" si="9"/>
        <v>4163.6165865384619</v>
      </c>
      <c r="I206" s="15">
        <f t="shared" si="10"/>
        <v>1276.9968750000003</v>
      </c>
      <c r="J206" s="16">
        <f>IF(H206=0, 0, ROUND(SUM(H$3:H206)-SUM(G$3:G206),0))</f>
        <v>130254</v>
      </c>
      <c r="K206" s="16">
        <f t="shared" si="11"/>
        <v>280000</v>
      </c>
      <c r="L206" s="15">
        <f>IF($F206&gt;=$B$14, 0, IF(LOWER(LEFT($B$2,1))="s", ($B$3-($F206)*($B$3/ROUND($B$4*12,0)+$B$10)),$B$3-($F206*$B$6-SUM(G$3:G206)+$B$10*$F206)))</f>
        <v>621230.76923076925</v>
      </c>
      <c r="M206" s="15">
        <f>IF(F206&gt;=ROUND($B$4*12,0),0,IF(LOWER(LEFT($B$2,1))="s", ($B$3-($B$3/ROUND($B$4*12,0))*F206),$B$3-(F206*$B$6-SUM(H$3:H206))))</f>
        <v>901730.76923076925</v>
      </c>
    </row>
    <row r="207" spans="1:13" x14ac:dyDescent="0.6">
      <c r="A207" s="4"/>
      <c r="B207" s="4"/>
      <c r="C207" s="4"/>
      <c r="D207" s="4"/>
      <c r="E207" s="23"/>
      <c r="F207" s="10">
        <v>205</v>
      </c>
      <c r="G207" s="11">
        <f>IF(F207&gt;$B$14, 0, IF(LOWER(LEFT($B$2,1))="s", ($B$3-($F207-1)*($B$3/ROUND($B$4*12,0)+$B$10))*($B$5/12),IF(F207=$B$14, ($B$3-((F207-1)*($B$10+$B$6)-SUM(G$3:G206)))*($B$5/12), ABS(IPMT($B$5/12,$F207,NPER($B$5/12,-ABS($B$6)-$B$10,$B$3,0),$B$3)))))</f>
        <v>2842.1307692307691</v>
      </c>
      <c r="H207" s="12">
        <f t="shared" si="9"/>
        <v>4125.4182692307695</v>
      </c>
      <c r="I207" s="11">
        <f t="shared" si="10"/>
        <v>1283.2875000000004</v>
      </c>
      <c r="J207" s="12">
        <f>IF(H207=0, 0, ROUND(SUM(H$3:H207)-SUM(G$3:G207),0))</f>
        <v>131537</v>
      </c>
      <c r="K207" s="12" t="str">
        <f t="shared" si="11"/>
        <v/>
      </c>
      <c r="L207" s="11">
        <f>IF($F207&gt;=$B$14, 0, IF(LOWER(LEFT($B$2,1))="s", ($B$3-($F207)*($B$3/ROUND($B$4*12,0)+$B$10)),$B$3-($F207*$B$6-SUM(G$3:G207)+$B$10*$F207)))</f>
        <v>611506.41025641025</v>
      </c>
      <c r="M207" s="11">
        <f>IF(F207&gt;=ROUND($B$4*12,0),0,IF(LOWER(LEFT($B$2,1))="s", ($B$3-($B$3/ROUND($B$4*12,0))*F207),$B$3-(F207*$B$6-SUM(H$3:H207))))</f>
        <v>893381.41025641025</v>
      </c>
    </row>
    <row r="208" spans="1:13" x14ac:dyDescent="0.6">
      <c r="A208" s="4"/>
      <c r="B208" s="4"/>
      <c r="C208" s="4"/>
      <c r="D208" s="4"/>
      <c r="E208" s="23"/>
      <c r="F208" s="14">
        <v>206</v>
      </c>
      <c r="G208" s="15">
        <f>IF(F208&gt;$B$14, 0, IF(LOWER(LEFT($B$2,1))="s", ($B$3-($F208-1)*($B$3/ROUND($B$4*12,0)+$B$10))*($B$5/12),IF(F208=$B$14, ($B$3-((F208-1)*($B$10+$B$6)-SUM(G$3:G207)))*($B$5/12), ABS(IPMT($B$5/12,$F208,NPER($B$5/12,-ABS($B$6)-$B$10,$B$3,0),$B$3)))))</f>
        <v>2797.6418269230771</v>
      </c>
      <c r="H208" s="16">
        <f t="shared" si="9"/>
        <v>4087.2199519230771</v>
      </c>
      <c r="I208" s="15">
        <f t="shared" si="10"/>
        <v>1289.578125</v>
      </c>
      <c r="J208" s="16">
        <f>IF(H208=0, 0, ROUND(SUM(H$3:H208)-SUM(G$3:G208),0))</f>
        <v>132827</v>
      </c>
      <c r="K208" s="16" t="str">
        <f t="shared" si="11"/>
        <v/>
      </c>
      <c r="L208" s="15">
        <f>IF($F208&gt;=$B$14, 0, IF(LOWER(LEFT($B$2,1))="s", ($B$3-($F208)*($B$3/ROUND($B$4*12,0)+$B$10)),$B$3-($F208*$B$6-SUM(G$3:G208)+$B$10*$F208)))</f>
        <v>601782.05128205125</v>
      </c>
      <c r="M208" s="15">
        <f>IF(F208&gt;=ROUND($B$4*12,0),0,IF(LOWER(LEFT($B$2,1))="s", ($B$3-($B$3/ROUND($B$4*12,0))*F208),$B$3-(F208*$B$6-SUM(H$3:H208))))</f>
        <v>885032.05128205125</v>
      </c>
    </row>
    <row r="209" spans="1:13" x14ac:dyDescent="0.6">
      <c r="A209" s="4"/>
      <c r="B209" s="4"/>
      <c r="C209" s="4"/>
      <c r="D209" s="4"/>
      <c r="E209" s="23"/>
      <c r="F209" s="10">
        <v>207</v>
      </c>
      <c r="G209" s="11">
        <f>IF(F209&gt;$B$14, 0, IF(LOWER(LEFT($B$2,1))="s", ($B$3-($F209-1)*($B$3/ROUND($B$4*12,0)+$B$10))*($B$5/12),IF(F209=$B$14, ($B$3-((F209-1)*($B$10+$B$6)-SUM(G$3:G208)))*($B$5/12), ABS(IPMT($B$5/12,$F209,NPER($B$5/12,-ABS($B$6)-$B$10,$B$3,0),$B$3)))))</f>
        <v>2753.1528846153847</v>
      </c>
      <c r="H209" s="12">
        <f t="shared" si="9"/>
        <v>4049.0216346153848</v>
      </c>
      <c r="I209" s="11">
        <f t="shared" si="10"/>
        <v>1295.8687500000001</v>
      </c>
      <c r="J209" s="12">
        <f>IF(H209=0, 0, ROUND(SUM(H$3:H209)-SUM(G$3:G209),0))</f>
        <v>134122</v>
      </c>
      <c r="K209" s="12" t="str">
        <f t="shared" si="11"/>
        <v/>
      </c>
      <c r="L209" s="11">
        <f>IF($F209&gt;=$B$14, 0, IF(LOWER(LEFT($B$2,1))="s", ($B$3-($F209)*($B$3/ROUND($B$4*12,0)+$B$10)),$B$3-($F209*$B$6-SUM(G$3:G209)+$B$10*$F209)))</f>
        <v>592057.69230769225</v>
      </c>
      <c r="M209" s="11">
        <f>IF(F209&gt;=ROUND($B$4*12,0),0,IF(LOWER(LEFT($B$2,1))="s", ($B$3-($B$3/ROUND($B$4*12,0))*F209),$B$3-(F209*$B$6-SUM(H$3:H209))))</f>
        <v>876682.69230769225</v>
      </c>
    </row>
    <row r="210" spans="1:13" x14ac:dyDescent="0.6">
      <c r="A210" s="4"/>
      <c r="B210" s="4"/>
      <c r="C210" s="4"/>
      <c r="D210" s="4"/>
      <c r="E210" s="23"/>
      <c r="F210" s="14">
        <v>208</v>
      </c>
      <c r="G210" s="15">
        <f>IF(F210&gt;$B$14, 0, IF(LOWER(LEFT($B$2,1))="s", ($B$3-($F210-1)*($B$3/ROUND($B$4*12,0)+$B$10))*($B$5/12),IF(F210=$B$14, ($B$3-((F210-1)*($B$10+$B$6)-SUM(G$3:G209)))*($B$5/12), ABS(IPMT($B$5/12,$F210,NPER($B$5/12,-ABS($B$6)-$B$10,$B$3,0),$B$3)))))</f>
        <v>2708.6639423076922</v>
      </c>
      <c r="H210" s="16">
        <f t="shared" si="9"/>
        <v>4010.8233173076919</v>
      </c>
      <c r="I210" s="15">
        <f t="shared" si="10"/>
        <v>1302.1593749999997</v>
      </c>
      <c r="J210" s="16">
        <f>IF(H210=0, 0, ROUND(SUM(H$3:H210)-SUM(G$3:G210),0))</f>
        <v>135425</v>
      </c>
      <c r="K210" s="16" t="str">
        <f t="shared" si="11"/>
        <v/>
      </c>
      <c r="L210" s="15">
        <f>IF($F210&gt;=$B$14, 0, IF(LOWER(LEFT($B$2,1))="s", ($B$3-($F210)*($B$3/ROUND($B$4*12,0)+$B$10)),$B$3-($F210*$B$6-SUM(G$3:G210)+$B$10*$F210)))</f>
        <v>582333.33333333326</v>
      </c>
      <c r="M210" s="15">
        <f>IF(F210&gt;=ROUND($B$4*12,0),0,IF(LOWER(LEFT($B$2,1))="s", ($B$3-($B$3/ROUND($B$4*12,0))*F210),$B$3-(F210*$B$6-SUM(H$3:H210))))</f>
        <v>868333.33333333326</v>
      </c>
    </row>
    <row r="211" spans="1:13" x14ac:dyDescent="0.6">
      <c r="A211" s="4"/>
      <c r="B211" s="4"/>
      <c r="C211" s="4"/>
      <c r="D211" s="4"/>
      <c r="E211" s="23"/>
      <c r="F211" s="10">
        <v>209</v>
      </c>
      <c r="G211" s="11">
        <f>IF(F211&gt;$B$14, 0, IF(LOWER(LEFT($B$2,1))="s", ($B$3-($F211-1)*($B$3/ROUND($B$4*12,0)+$B$10))*($B$5/12),IF(F211=$B$14, ($B$3-((F211-1)*($B$10+$B$6)-SUM(G$3:G210)))*($B$5/12), ABS(IPMT($B$5/12,$F211,NPER($B$5/12,-ABS($B$6)-$B$10,$B$3,0),$B$3)))))</f>
        <v>2664.1749999999997</v>
      </c>
      <c r="H211" s="12">
        <f t="shared" si="9"/>
        <v>3972.6249999999995</v>
      </c>
      <c r="I211" s="11">
        <f t="shared" si="10"/>
        <v>1308.4499999999998</v>
      </c>
      <c r="J211" s="12">
        <f>IF(H211=0, 0, ROUND(SUM(H$3:H211)-SUM(G$3:G211),0))</f>
        <v>136733</v>
      </c>
      <c r="K211" s="12" t="str">
        <f t="shared" si="11"/>
        <v/>
      </c>
      <c r="L211" s="11">
        <f>IF($F211&gt;=$B$14, 0, IF(LOWER(LEFT($B$2,1))="s", ($B$3-($F211)*($B$3/ROUND($B$4*12,0)+$B$10)),$B$3-($F211*$B$6-SUM(G$3:G211)+$B$10*$F211)))</f>
        <v>572608.97435897426</v>
      </c>
      <c r="M211" s="11">
        <f>IF(F211&gt;=ROUND($B$4*12,0),0,IF(LOWER(LEFT($B$2,1))="s", ($B$3-($B$3/ROUND($B$4*12,0))*F211),$B$3-(F211*$B$6-SUM(H$3:H211))))</f>
        <v>859983.97435897426</v>
      </c>
    </row>
    <row r="212" spans="1:13" x14ac:dyDescent="0.6">
      <c r="A212" s="4"/>
      <c r="B212" s="4"/>
      <c r="C212" s="4"/>
      <c r="D212" s="4"/>
      <c r="E212" s="23"/>
      <c r="F212" s="14">
        <v>210</v>
      </c>
      <c r="G212" s="15">
        <f>IF(F212&gt;$B$14, 0, IF(LOWER(LEFT($B$2,1))="s", ($B$3-($F212-1)*($B$3/ROUND($B$4*12,0)+$B$10))*($B$5/12),IF(F212=$B$14, ($B$3-((F212-1)*($B$10+$B$6)-SUM(G$3:G211)))*($B$5/12), ABS(IPMT($B$5/12,$F212,NPER($B$5/12,-ABS($B$6)-$B$10,$B$3,0),$B$3)))))</f>
        <v>2619.6860576923073</v>
      </c>
      <c r="H212" s="16">
        <f t="shared" si="9"/>
        <v>3934.4266826923072</v>
      </c>
      <c r="I212" s="15">
        <f t="shared" si="10"/>
        <v>1314.7406249999999</v>
      </c>
      <c r="J212" s="16">
        <f>IF(H212=0, 0, ROUND(SUM(H$3:H212)-SUM(G$3:G212),0))</f>
        <v>138048</v>
      </c>
      <c r="K212" s="16" t="str">
        <f t="shared" si="11"/>
        <v/>
      </c>
      <c r="L212" s="15">
        <f>IF($F212&gt;=$B$14, 0, IF(LOWER(LEFT($B$2,1))="s", ($B$3-($F212)*($B$3/ROUND($B$4*12,0)+$B$10)),$B$3-($F212*$B$6-SUM(G$3:G212)+$B$10*$F212)))</f>
        <v>562884.61538461526</v>
      </c>
      <c r="M212" s="15">
        <f>IF(F212&gt;=ROUND($B$4*12,0),0,IF(LOWER(LEFT($B$2,1))="s", ($B$3-($B$3/ROUND($B$4*12,0))*F212),$B$3-(F212*$B$6-SUM(H$3:H212))))</f>
        <v>851634.61538461526</v>
      </c>
    </row>
    <row r="213" spans="1:13" x14ac:dyDescent="0.6">
      <c r="A213" s="4"/>
      <c r="B213" s="4"/>
      <c r="C213" s="4"/>
      <c r="D213" s="4"/>
      <c r="E213" s="23"/>
      <c r="F213" s="10">
        <v>211</v>
      </c>
      <c r="G213" s="11">
        <f>IF(F213&gt;$B$14, 0, IF(LOWER(LEFT($B$2,1))="s", ($B$3-($F213-1)*($B$3/ROUND($B$4*12,0)+$B$10))*($B$5/12),IF(F213=$B$14, ($B$3-((F213-1)*($B$10+$B$6)-SUM(G$3:G212)))*($B$5/12), ABS(IPMT($B$5/12,$F213,NPER($B$5/12,-ABS($B$6)-$B$10,$B$3,0),$B$3)))))</f>
        <v>2575.1971153846148</v>
      </c>
      <c r="H213" s="12">
        <f t="shared" si="9"/>
        <v>3896.2283653846148</v>
      </c>
      <c r="I213" s="11">
        <f t="shared" si="10"/>
        <v>1321.03125</v>
      </c>
      <c r="J213" s="12">
        <f>IF(H213=0, 0, ROUND(SUM(H$3:H213)-SUM(G$3:G213),0))</f>
        <v>139369</v>
      </c>
      <c r="K213" s="12">
        <f t="shared" si="11"/>
        <v>290000</v>
      </c>
      <c r="L213" s="11">
        <f>IF($F213&gt;=$B$14, 0, IF(LOWER(LEFT($B$2,1))="s", ($B$3-($F213)*($B$3/ROUND($B$4*12,0)+$B$10)),$B$3-($F213*$B$6-SUM(G$3:G213)+$B$10*$F213)))</f>
        <v>553160.25641025626</v>
      </c>
      <c r="M213" s="11">
        <f>IF(F213&gt;=ROUND($B$4*12,0),0,IF(LOWER(LEFT($B$2,1))="s", ($B$3-($B$3/ROUND($B$4*12,0))*F213),$B$3-(F213*$B$6-SUM(H$3:H213))))</f>
        <v>843285.25641025626</v>
      </c>
    </row>
    <row r="214" spans="1:13" x14ac:dyDescent="0.6">
      <c r="A214" s="4"/>
      <c r="B214" s="4"/>
      <c r="C214" s="4"/>
      <c r="D214" s="4"/>
      <c r="E214" s="23"/>
      <c r="F214" s="14">
        <v>212</v>
      </c>
      <c r="G214" s="15">
        <f>IF(F214&gt;$B$14, 0, IF(LOWER(LEFT($B$2,1))="s", ($B$3-($F214-1)*($B$3/ROUND($B$4*12,0)+$B$10))*($B$5/12),IF(F214=$B$14, ($B$3-((F214-1)*($B$10+$B$6)-SUM(G$3:G213)))*($B$5/12), ABS(IPMT($B$5/12,$F214,NPER($B$5/12,-ABS($B$6)-$B$10,$B$3,0),$B$3)))))</f>
        <v>2530.7081730769223</v>
      </c>
      <c r="H214" s="16">
        <f t="shared" si="9"/>
        <v>3858.0300480769224</v>
      </c>
      <c r="I214" s="15">
        <f t="shared" si="10"/>
        <v>1327.3218750000001</v>
      </c>
      <c r="J214" s="16">
        <f>IF(H214=0, 0, ROUND(SUM(H$3:H214)-SUM(G$3:G214),0))</f>
        <v>140696</v>
      </c>
      <c r="K214" s="16" t="str">
        <f t="shared" si="11"/>
        <v/>
      </c>
      <c r="L214" s="15">
        <f>IF($F214&gt;=$B$14, 0, IF(LOWER(LEFT($B$2,1))="s", ($B$3-($F214)*($B$3/ROUND($B$4*12,0)+$B$10)),$B$3-($F214*$B$6-SUM(G$3:G214)+$B$10*$F214)))</f>
        <v>543435.8974358975</v>
      </c>
      <c r="M214" s="15">
        <f>IF(F214&gt;=ROUND($B$4*12,0),0,IF(LOWER(LEFT($B$2,1))="s", ($B$3-($B$3/ROUND($B$4*12,0))*F214),$B$3-(F214*$B$6-SUM(H$3:H214))))</f>
        <v>834935.8974358975</v>
      </c>
    </row>
    <row r="215" spans="1:13" x14ac:dyDescent="0.6">
      <c r="A215" s="4"/>
      <c r="B215" s="4"/>
      <c r="C215" s="4"/>
      <c r="D215" s="4"/>
      <c r="E215" s="23"/>
      <c r="F215" s="10">
        <v>213</v>
      </c>
      <c r="G215" s="11">
        <f>IF(F215&gt;$B$14, 0, IF(LOWER(LEFT($B$2,1))="s", ($B$3-($F215-1)*($B$3/ROUND($B$4*12,0)+$B$10))*($B$5/12),IF(F215=$B$14, ($B$3-((F215-1)*($B$10+$B$6)-SUM(G$3:G214)))*($B$5/12), ABS(IPMT($B$5/12,$F215,NPER($B$5/12,-ABS($B$6)-$B$10,$B$3,0),$B$3)))))</f>
        <v>2486.2192307692312</v>
      </c>
      <c r="H215" s="12">
        <f t="shared" si="9"/>
        <v>3819.8317307692309</v>
      </c>
      <c r="I215" s="11">
        <f t="shared" si="10"/>
        <v>1333.6124999999997</v>
      </c>
      <c r="J215" s="12">
        <f>IF(H215=0, 0, ROUND(SUM(H$3:H215)-SUM(G$3:G215),0))</f>
        <v>142030</v>
      </c>
      <c r="K215" s="12" t="str">
        <f t="shared" si="11"/>
        <v/>
      </c>
      <c r="L215" s="11">
        <f>IF($F215&gt;=$B$14, 0, IF(LOWER(LEFT($B$2,1))="s", ($B$3-($F215)*($B$3/ROUND($B$4*12,0)+$B$10)),$B$3-($F215*$B$6-SUM(G$3:G215)+$B$10*$F215)))</f>
        <v>533711.5384615385</v>
      </c>
      <c r="M215" s="11">
        <f>IF(F215&gt;=ROUND($B$4*12,0),0,IF(LOWER(LEFT($B$2,1))="s", ($B$3-($B$3/ROUND($B$4*12,0))*F215),$B$3-(F215*$B$6-SUM(H$3:H215))))</f>
        <v>826586.5384615385</v>
      </c>
    </row>
    <row r="216" spans="1:13" x14ac:dyDescent="0.6">
      <c r="A216" s="4"/>
      <c r="B216" s="4"/>
      <c r="C216" s="4"/>
      <c r="D216" s="4"/>
      <c r="E216" s="23"/>
      <c r="F216" s="14">
        <v>214</v>
      </c>
      <c r="G216" s="15">
        <f>IF(F216&gt;$B$14, 0, IF(LOWER(LEFT($B$2,1))="s", ($B$3-($F216-1)*($B$3/ROUND($B$4*12,0)+$B$10))*($B$5/12),IF(F216=$B$14, ($B$3-((F216-1)*($B$10+$B$6)-SUM(G$3:G215)))*($B$5/12), ABS(IPMT($B$5/12,$F216,NPER($B$5/12,-ABS($B$6)-$B$10,$B$3,0),$B$3)))))</f>
        <v>2441.7302884615387</v>
      </c>
      <c r="H216" s="16">
        <f t="shared" si="9"/>
        <v>3781.6334134615386</v>
      </c>
      <c r="I216" s="15">
        <f t="shared" si="10"/>
        <v>1339.9031249999998</v>
      </c>
      <c r="J216" s="16">
        <f>IF(H216=0, 0, ROUND(SUM(H$3:H216)-SUM(G$3:G216),0))</f>
        <v>143370</v>
      </c>
      <c r="K216" s="16" t="str">
        <f t="shared" si="11"/>
        <v/>
      </c>
      <c r="L216" s="15">
        <f>IF($F216&gt;=$B$14, 0, IF(LOWER(LEFT($B$2,1))="s", ($B$3-($F216)*($B$3/ROUND($B$4*12,0)+$B$10)),$B$3-($F216*$B$6-SUM(G$3:G216)+$B$10*$F216)))</f>
        <v>523987.1794871795</v>
      </c>
      <c r="M216" s="15">
        <f>IF(F216&gt;=ROUND($B$4*12,0),0,IF(LOWER(LEFT($B$2,1))="s", ($B$3-($B$3/ROUND($B$4*12,0))*F216),$B$3-(F216*$B$6-SUM(H$3:H216))))</f>
        <v>818237.1794871795</v>
      </c>
    </row>
    <row r="217" spans="1:13" x14ac:dyDescent="0.6">
      <c r="A217" s="4"/>
      <c r="B217" s="4"/>
      <c r="C217" s="4"/>
      <c r="D217" s="4"/>
      <c r="E217" s="23"/>
      <c r="F217" s="10">
        <v>215</v>
      </c>
      <c r="G217" s="11">
        <f>IF(F217&gt;$B$14, 0, IF(LOWER(LEFT($B$2,1))="s", ($B$3-($F217-1)*($B$3/ROUND($B$4*12,0)+$B$10))*($B$5/12),IF(F217=$B$14, ($B$3-((F217-1)*($B$10+$B$6)-SUM(G$3:G216)))*($B$5/12), ABS(IPMT($B$5/12,$F217,NPER($B$5/12,-ABS($B$6)-$B$10,$B$3,0),$B$3)))))</f>
        <v>2397.2413461538463</v>
      </c>
      <c r="H217" s="12">
        <f t="shared" si="9"/>
        <v>3743.4350961538462</v>
      </c>
      <c r="I217" s="11">
        <f t="shared" si="10"/>
        <v>1346.1937499999999</v>
      </c>
      <c r="J217" s="12">
        <f>IF(H217=0, 0, ROUND(SUM(H$3:H217)-SUM(G$3:G217),0))</f>
        <v>144716</v>
      </c>
      <c r="K217" s="12" t="str">
        <f t="shared" si="11"/>
        <v/>
      </c>
      <c r="L217" s="11">
        <f>IF($F217&gt;=$B$14, 0, IF(LOWER(LEFT($B$2,1))="s", ($B$3-($F217)*($B$3/ROUND($B$4*12,0)+$B$10)),$B$3-($F217*$B$6-SUM(G$3:G217)+$B$10*$F217)))</f>
        <v>514262.8205128205</v>
      </c>
      <c r="M217" s="11">
        <f>IF(F217&gt;=ROUND($B$4*12,0),0,IF(LOWER(LEFT($B$2,1))="s", ($B$3-($B$3/ROUND($B$4*12,0))*F217),$B$3-(F217*$B$6-SUM(H$3:H217))))</f>
        <v>809887.8205128205</v>
      </c>
    </row>
    <row r="218" spans="1:13" x14ac:dyDescent="0.6">
      <c r="A218" s="4"/>
      <c r="B218" s="4"/>
      <c r="C218" s="4"/>
      <c r="D218" s="4"/>
      <c r="E218" s="23" t="s">
        <v>41</v>
      </c>
      <c r="F218" s="14">
        <v>216</v>
      </c>
      <c r="G218" s="15">
        <f>IF(F218&gt;$B$14, 0, IF(LOWER(LEFT($B$2,1))="s", ($B$3-($F218-1)*($B$3/ROUND($B$4*12,0)+$B$10))*($B$5/12),IF(F218=$B$14, ($B$3-((F218-1)*($B$10+$B$6)-SUM(G$3:G217)))*($B$5/12), ABS(IPMT($B$5/12,$F218,NPER($B$5/12,-ABS($B$6)-$B$10,$B$3,0),$B$3)))))</f>
        <v>2352.7524038461538</v>
      </c>
      <c r="H218" s="16">
        <f t="shared" si="9"/>
        <v>3705.2367788461538</v>
      </c>
      <c r="I218" s="15">
        <f t="shared" si="10"/>
        <v>1352.484375</v>
      </c>
      <c r="J218" s="16">
        <f>IF(H218=0, 0, ROUND(SUM(H$3:H218)-SUM(G$3:G218),0))</f>
        <v>146068</v>
      </c>
      <c r="K218" s="16" t="str">
        <f t="shared" si="11"/>
        <v/>
      </c>
      <c r="L218" s="15">
        <f>IF($F218&gt;=$B$14, 0, IF(LOWER(LEFT($B$2,1))="s", ($B$3-($F218)*($B$3/ROUND($B$4*12,0)+$B$10)),$B$3-($F218*$B$6-SUM(G$3:G218)+$B$10*$F218)))</f>
        <v>504538.4615384615</v>
      </c>
      <c r="M218" s="15">
        <f>IF(F218&gt;=ROUND($B$4*12,0),0,IF(LOWER(LEFT($B$2,1))="s", ($B$3-($B$3/ROUND($B$4*12,0))*F218),$B$3-(F218*$B$6-SUM(H$3:H218))))</f>
        <v>801538.4615384615</v>
      </c>
    </row>
    <row r="219" spans="1:13" x14ac:dyDescent="0.6">
      <c r="A219" s="4"/>
      <c r="B219" s="4"/>
      <c r="C219" s="4"/>
      <c r="D219" s="4"/>
      <c r="E219" s="23"/>
      <c r="F219" s="10">
        <v>217</v>
      </c>
      <c r="G219" s="11">
        <f>IF(F219&gt;$B$14, 0, IF(LOWER(LEFT($B$2,1))="s", ($B$3-($F219-1)*($B$3/ROUND($B$4*12,0)+$B$10))*($B$5/12),IF(F219=$B$14, ($B$3-((F219-1)*($B$10+$B$6)-SUM(G$3:G218)))*($B$5/12), ABS(IPMT($B$5/12,$F219,NPER($B$5/12,-ABS($B$6)-$B$10,$B$3,0),$B$3)))))</f>
        <v>2308.2634615384613</v>
      </c>
      <c r="H219" s="12">
        <f t="shared" si="9"/>
        <v>3667.0384615384614</v>
      </c>
      <c r="I219" s="11">
        <f t="shared" si="10"/>
        <v>1358.7750000000001</v>
      </c>
      <c r="J219" s="12">
        <f>IF(H219=0, 0, ROUND(SUM(H$3:H219)-SUM(G$3:G219),0))</f>
        <v>147427</v>
      </c>
      <c r="K219" s="12" t="str">
        <f t="shared" si="11"/>
        <v/>
      </c>
      <c r="L219" s="11">
        <f>IF($F219&gt;=$B$14, 0, IF(LOWER(LEFT($B$2,1))="s", ($B$3-($F219)*($B$3/ROUND($B$4*12,0)+$B$10)),$B$3-($F219*$B$6-SUM(G$3:G219)+$B$10*$F219)))</f>
        <v>494814.1025641025</v>
      </c>
      <c r="M219" s="11">
        <f>IF(F219&gt;=ROUND($B$4*12,0),0,IF(LOWER(LEFT($B$2,1))="s", ($B$3-($B$3/ROUND($B$4*12,0))*F219),$B$3-(F219*$B$6-SUM(H$3:H219))))</f>
        <v>793189.1025641025</v>
      </c>
    </row>
    <row r="220" spans="1:13" x14ac:dyDescent="0.6">
      <c r="A220" s="4"/>
      <c r="B220" s="4"/>
      <c r="C220" s="4"/>
      <c r="D220" s="4"/>
      <c r="E220" s="23"/>
      <c r="F220" s="14">
        <v>218</v>
      </c>
      <c r="G220" s="15">
        <f>IF(F220&gt;$B$14, 0, IF(LOWER(LEFT($B$2,1))="s", ($B$3-($F220-1)*($B$3/ROUND($B$4*12,0)+$B$10))*($B$5/12),IF(F220=$B$14, ($B$3-((F220-1)*($B$10+$B$6)-SUM(G$3:G219)))*($B$5/12), ABS(IPMT($B$5/12,$F220,NPER($B$5/12,-ABS($B$6)-$B$10,$B$3,0),$B$3)))))</f>
        <v>2263.7745192307689</v>
      </c>
      <c r="H220" s="16">
        <f t="shared" si="9"/>
        <v>3628.8401442307691</v>
      </c>
      <c r="I220" s="15">
        <f t="shared" si="10"/>
        <v>1365.0656250000002</v>
      </c>
      <c r="J220" s="16">
        <f>IF(H220=0, 0, ROUND(SUM(H$3:H220)-SUM(G$3:G220),0))</f>
        <v>148792</v>
      </c>
      <c r="K220" s="16" t="str">
        <f t="shared" si="11"/>
        <v/>
      </c>
      <c r="L220" s="15">
        <f>IF($F220&gt;=$B$14, 0, IF(LOWER(LEFT($B$2,1))="s", ($B$3-($F220)*($B$3/ROUND($B$4*12,0)+$B$10)),$B$3-($F220*$B$6-SUM(G$3:G220)+$B$10*$F220)))</f>
        <v>485089.74358974351</v>
      </c>
      <c r="M220" s="15">
        <f>IF(F220&gt;=ROUND($B$4*12,0),0,IF(LOWER(LEFT($B$2,1))="s", ($B$3-($B$3/ROUND($B$4*12,0))*F220),$B$3-(F220*$B$6-SUM(H$3:H220))))</f>
        <v>784839.74358974351</v>
      </c>
    </row>
    <row r="221" spans="1:13" x14ac:dyDescent="0.6">
      <c r="A221" s="4"/>
      <c r="B221" s="4"/>
      <c r="C221" s="4"/>
      <c r="D221" s="4"/>
      <c r="E221" s="23"/>
      <c r="F221" s="10">
        <v>219</v>
      </c>
      <c r="G221" s="11">
        <f>IF(F221&gt;$B$14, 0, IF(LOWER(LEFT($B$2,1))="s", ($B$3-($F221-1)*($B$3/ROUND($B$4*12,0)+$B$10))*($B$5/12),IF(F221=$B$14, ($B$3-((F221-1)*($B$10+$B$6)-SUM(G$3:G220)))*($B$5/12), ABS(IPMT($B$5/12,$F221,NPER($B$5/12,-ABS($B$6)-$B$10,$B$3,0),$B$3)))))</f>
        <v>2219.2855769230764</v>
      </c>
      <c r="H221" s="12">
        <f t="shared" si="9"/>
        <v>3590.6418269230767</v>
      </c>
      <c r="I221" s="11">
        <f t="shared" si="10"/>
        <v>1371.3562500000003</v>
      </c>
      <c r="J221" s="12">
        <f>IF(H221=0, 0, ROUND(SUM(H$3:H221)-SUM(G$3:G221),0))</f>
        <v>150164</v>
      </c>
      <c r="K221" s="12">
        <f t="shared" si="11"/>
        <v>300000</v>
      </c>
      <c r="L221" s="11">
        <f>IF($F221&gt;=$B$14, 0, IF(LOWER(LEFT($B$2,1))="s", ($B$3-($F221)*($B$3/ROUND($B$4*12,0)+$B$10)),$B$3-($F221*$B$6-SUM(G$3:G221)+$B$10*$F221)))</f>
        <v>475365.38461538451</v>
      </c>
      <c r="M221" s="11">
        <f>IF(F221&gt;=ROUND($B$4*12,0),0,IF(LOWER(LEFT($B$2,1))="s", ($B$3-($B$3/ROUND($B$4*12,0))*F221),$B$3-(F221*$B$6-SUM(H$3:H221))))</f>
        <v>776490.38461538451</v>
      </c>
    </row>
    <row r="222" spans="1:13" x14ac:dyDescent="0.6">
      <c r="A222" s="4"/>
      <c r="B222" s="4"/>
      <c r="C222" s="4"/>
      <c r="D222" s="4"/>
      <c r="E222" s="23"/>
      <c r="F222" s="14">
        <v>220</v>
      </c>
      <c r="G222" s="15">
        <f>IF(F222&gt;$B$14, 0, IF(LOWER(LEFT($B$2,1))="s", ($B$3-($F222-1)*($B$3/ROUND($B$4*12,0)+$B$10))*($B$5/12),IF(F222=$B$14, ($B$3-((F222-1)*($B$10+$B$6)-SUM(G$3:G221)))*($B$5/12), ABS(IPMT($B$5/12,$F222,NPER($B$5/12,-ABS($B$6)-$B$10,$B$3,0),$B$3)))))</f>
        <v>2174.7966346153839</v>
      </c>
      <c r="H222" s="16">
        <f t="shared" si="9"/>
        <v>3552.4435096153843</v>
      </c>
      <c r="I222" s="15">
        <f t="shared" si="10"/>
        <v>1377.6468750000004</v>
      </c>
      <c r="J222" s="16">
        <f>IF(H222=0, 0, ROUND(SUM(H$3:H222)-SUM(G$3:G222),0))</f>
        <v>151541</v>
      </c>
      <c r="K222" s="16" t="str">
        <f t="shared" si="11"/>
        <v/>
      </c>
      <c r="L222" s="15">
        <f>IF($F222&gt;=$B$14, 0, IF(LOWER(LEFT($B$2,1))="s", ($B$3-($F222)*($B$3/ROUND($B$4*12,0)+$B$10)),$B$3-($F222*$B$6-SUM(G$3:G222)+$B$10*$F222)))</f>
        <v>465641.02564102551</v>
      </c>
      <c r="M222" s="15">
        <f>IF(F222&gt;=ROUND($B$4*12,0),0,IF(LOWER(LEFT($B$2,1))="s", ($B$3-($B$3/ROUND($B$4*12,0))*F222),$B$3-(F222*$B$6-SUM(H$3:H222))))</f>
        <v>768141.02564102551</v>
      </c>
    </row>
    <row r="223" spans="1:13" x14ac:dyDescent="0.6">
      <c r="A223" s="4"/>
      <c r="B223" s="4"/>
      <c r="C223" s="4"/>
      <c r="D223" s="4"/>
      <c r="E223" s="23"/>
      <c r="F223" s="10">
        <v>221</v>
      </c>
      <c r="G223" s="11">
        <f>IF(F223&gt;$B$14, 0, IF(LOWER(LEFT($B$2,1))="s", ($B$3-($F223-1)*($B$3/ROUND($B$4*12,0)+$B$10))*($B$5/12),IF(F223=$B$14, ($B$3-((F223-1)*($B$10+$B$6)-SUM(G$3:G222)))*($B$5/12), ABS(IPMT($B$5/12,$F223,NPER($B$5/12,-ABS($B$6)-$B$10,$B$3,0),$B$3)))))</f>
        <v>2130.3076923076919</v>
      </c>
      <c r="H223" s="12">
        <f t="shared" si="9"/>
        <v>3514.2451923076919</v>
      </c>
      <c r="I223" s="11">
        <f t="shared" si="10"/>
        <v>1383.9375</v>
      </c>
      <c r="J223" s="12">
        <f>IF(H223=0, 0, ROUND(SUM(H$3:H223)-SUM(G$3:G223),0))</f>
        <v>152925</v>
      </c>
      <c r="K223" s="12" t="str">
        <f t="shared" si="11"/>
        <v/>
      </c>
      <c r="L223" s="11">
        <f>IF($F223&gt;=$B$14, 0, IF(LOWER(LEFT($B$2,1))="s", ($B$3-($F223)*($B$3/ROUND($B$4*12,0)+$B$10)),$B$3-($F223*$B$6-SUM(G$3:G223)+$B$10*$F223)))</f>
        <v>455916.66666666651</v>
      </c>
      <c r="M223" s="11">
        <f>IF(F223&gt;=ROUND($B$4*12,0),0,IF(LOWER(LEFT($B$2,1))="s", ($B$3-($B$3/ROUND($B$4*12,0))*F223),$B$3-(F223*$B$6-SUM(H$3:H223))))</f>
        <v>759791.66666666651</v>
      </c>
    </row>
    <row r="224" spans="1:13" x14ac:dyDescent="0.6">
      <c r="A224" s="4"/>
      <c r="B224" s="4"/>
      <c r="C224" s="4"/>
      <c r="D224" s="4"/>
      <c r="E224" s="23"/>
      <c r="F224" s="14">
        <v>222</v>
      </c>
      <c r="G224" s="15">
        <f>IF(F224&gt;$B$14, 0, IF(LOWER(LEFT($B$2,1))="s", ($B$3-($F224-1)*($B$3/ROUND($B$4*12,0)+$B$10))*($B$5/12),IF(F224=$B$14, ($B$3-((F224-1)*($B$10+$B$6)-SUM(G$3:G223)))*($B$5/12), ABS(IPMT($B$5/12,$F224,NPER($B$5/12,-ABS($B$6)-$B$10,$B$3,0),$B$3)))))</f>
        <v>2085.8187499999995</v>
      </c>
      <c r="H224" s="16">
        <f t="shared" si="9"/>
        <v>3476.0468749999995</v>
      </c>
      <c r="I224" s="15">
        <f t="shared" si="10"/>
        <v>1390.2281250000001</v>
      </c>
      <c r="J224" s="16">
        <f>IF(H224=0, 0, ROUND(SUM(H$3:H224)-SUM(G$3:G224),0))</f>
        <v>154315</v>
      </c>
      <c r="K224" s="16" t="str">
        <f t="shared" si="11"/>
        <v/>
      </c>
      <c r="L224" s="15">
        <f>IF($F224&gt;=$B$14, 0, IF(LOWER(LEFT($B$2,1))="s", ($B$3-($F224)*($B$3/ROUND($B$4*12,0)+$B$10)),$B$3-($F224*$B$6-SUM(G$3:G224)+$B$10*$F224)))</f>
        <v>446192.30769230751</v>
      </c>
      <c r="M224" s="15">
        <f>IF(F224&gt;=ROUND($B$4*12,0),0,IF(LOWER(LEFT($B$2,1))="s", ($B$3-($B$3/ROUND($B$4*12,0))*F224),$B$3-(F224*$B$6-SUM(H$3:H224))))</f>
        <v>751442.30769230775</v>
      </c>
    </row>
    <row r="225" spans="1:13" x14ac:dyDescent="0.6">
      <c r="A225" s="4"/>
      <c r="B225" s="4"/>
      <c r="C225" s="4"/>
      <c r="D225" s="4"/>
      <c r="E225" s="23"/>
      <c r="F225" s="10">
        <v>223</v>
      </c>
      <c r="G225" s="11">
        <f>IF(F225&gt;$B$14, 0, IF(LOWER(LEFT($B$2,1))="s", ($B$3-($F225-1)*($B$3/ROUND($B$4*12,0)+$B$10))*($B$5/12),IF(F225=$B$14, ($B$3-((F225-1)*($B$10+$B$6)-SUM(G$3:G224)))*($B$5/12), ABS(IPMT($B$5/12,$F225,NPER($B$5/12,-ABS($B$6)-$B$10,$B$3,0),$B$3)))))</f>
        <v>2041.329807692307</v>
      </c>
      <c r="H225" s="12">
        <f t="shared" si="9"/>
        <v>3437.8485576923081</v>
      </c>
      <c r="I225" s="11">
        <f t="shared" si="10"/>
        <v>1396.5187500000011</v>
      </c>
      <c r="J225" s="12">
        <f>IF(H225=0, 0, ROUND(SUM(H$3:H225)-SUM(G$3:G225),0))</f>
        <v>155712</v>
      </c>
      <c r="K225" s="12" t="str">
        <f t="shared" si="11"/>
        <v/>
      </c>
      <c r="L225" s="11">
        <f>IF($F225&gt;=$B$14, 0, IF(LOWER(LEFT($B$2,1))="s", ($B$3-($F225)*($B$3/ROUND($B$4*12,0)+$B$10)),$B$3-($F225*$B$6-SUM(G$3:G225)+$B$10*$F225)))</f>
        <v>436467.94871794851</v>
      </c>
      <c r="M225" s="11">
        <f>IF(F225&gt;=ROUND($B$4*12,0),0,IF(LOWER(LEFT($B$2,1))="s", ($B$3-($B$3/ROUND($B$4*12,0))*F225),$B$3-(F225*$B$6-SUM(H$3:H225))))</f>
        <v>743092.94871794875</v>
      </c>
    </row>
    <row r="226" spans="1:13" x14ac:dyDescent="0.6">
      <c r="A226" s="4"/>
      <c r="B226" s="4"/>
      <c r="C226" s="4"/>
      <c r="D226" s="4"/>
      <c r="E226" s="23"/>
      <c r="F226" s="14">
        <v>224</v>
      </c>
      <c r="G226" s="15">
        <f>IF(F226&gt;$B$14, 0, IF(LOWER(LEFT($B$2,1))="s", ($B$3-($F226-1)*($B$3/ROUND($B$4*12,0)+$B$10))*($B$5/12),IF(F226=$B$14, ($B$3-((F226-1)*($B$10+$B$6)-SUM(G$3:G225)))*($B$5/12), ABS(IPMT($B$5/12,$F226,NPER($B$5/12,-ABS($B$6)-$B$10,$B$3,0),$B$3)))))</f>
        <v>1996.8408653846145</v>
      </c>
      <c r="H226" s="16">
        <f t="shared" si="9"/>
        <v>3399.6502403846157</v>
      </c>
      <c r="I226" s="15">
        <f t="shared" si="10"/>
        <v>1402.8093750000012</v>
      </c>
      <c r="J226" s="16">
        <f>IF(H226=0, 0, ROUND(SUM(H$3:H226)-SUM(G$3:G226),0))</f>
        <v>157115</v>
      </c>
      <c r="K226" s="16" t="str">
        <f t="shared" si="11"/>
        <v/>
      </c>
      <c r="L226" s="15">
        <f>IF($F226&gt;=$B$14, 0, IF(LOWER(LEFT($B$2,1))="s", ($B$3-($F226)*($B$3/ROUND($B$4*12,0)+$B$10)),$B$3-($F226*$B$6-SUM(G$3:G226)+$B$10*$F226)))</f>
        <v>426743.58974358952</v>
      </c>
      <c r="M226" s="15">
        <f>IF(F226&gt;=ROUND($B$4*12,0),0,IF(LOWER(LEFT($B$2,1))="s", ($B$3-($B$3/ROUND($B$4*12,0))*F226),$B$3-(F226*$B$6-SUM(H$3:H226))))</f>
        <v>734743.58974358975</v>
      </c>
    </row>
    <row r="227" spans="1:13" x14ac:dyDescent="0.6">
      <c r="A227" s="4"/>
      <c r="B227" s="4"/>
      <c r="C227" s="4"/>
      <c r="D227" s="4"/>
      <c r="E227" s="23"/>
      <c r="F227" s="10">
        <v>225</v>
      </c>
      <c r="G227" s="11">
        <f>IF(F227&gt;$B$14, 0, IF(LOWER(LEFT($B$2,1))="s", ($B$3-($F227-1)*($B$3/ROUND($B$4*12,0)+$B$10))*($B$5/12),IF(F227=$B$14, ($B$3-((F227-1)*($B$10+$B$6)-SUM(G$3:G226)))*($B$5/12), ABS(IPMT($B$5/12,$F227,NPER($B$5/12,-ABS($B$6)-$B$10,$B$3,0),$B$3)))))</f>
        <v>1952.351923076922</v>
      </c>
      <c r="H227" s="12">
        <f t="shared" si="9"/>
        <v>3361.4519230769233</v>
      </c>
      <c r="I227" s="11">
        <f t="shared" si="10"/>
        <v>1409.1000000000013</v>
      </c>
      <c r="J227" s="12">
        <f>IF(H227=0, 0, ROUND(SUM(H$3:H227)-SUM(G$3:G227),0))</f>
        <v>158524</v>
      </c>
      <c r="K227" s="12" t="str">
        <f t="shared" si="11"/>
        <v/>
      </c>
      <c r="L227" s="11">
        <f>IF($F227&gt;=$B$14, 0, IF(LOWER(LEFT($B$2,1))="s", ($B$3-($F227)*($B$3/ROUND($B$4*12,0)+$B$10)),$B$3-($F227*$B$6-SUM(G$3:G227)+$B$10*$F227)))</f>
        <v>417019.23076923052</v>
      </c>
      <c r="M227" s="11">
        <f>IF(F227&gt;=ROUND($B$4*12,0),0,IF(LOWER(LEFT($B$2,1))="s", ($B$3-($B$3/ROUND($B$4*12,0))*F227),$B$3-(F227*$B$6-SUM(H$3:H227))))</f>
        <v>726394.23076923075</v>
      </c>
    </row>
    <row r="228" spans="1:13" x14ac:dyDescent="0.6">
      <c r="A228" s="4"/>
      <c r="B228" s="4"/>
      <c r="C228" s="4"/>
      <c r="D228" s="4"/>
      <c r="E228" s="23"/>
      <c r="F228" s="14">
        <v>226</v>
      </c>
      <c r="G228" s="15">
        <f>IF(F228&gt;$B$14, 0, IF(LOWER(LEFT($B$2,1))="s", ($B$3-($F228-1)*($B$3/ROUND($B$4*12,0)+$B$10))*($B$5/12),IF(F228=$B$14, ($B$3-((F228-1)*($B$10+$B$6)-SUM(G$3:G227)))*($B$5/12), ABS(IPMT($B$5/12,$F228,NPER($B$5/12,-ABS($B$6)-$B$10,$B$3,0),$B$3)))))</f>
        <v>1907.8629807692296</v>
      </c>
      <c r="H228" s="16">
        <f t="shared" si="9"/>
        <v>3323.2536057692309</v>
      </c>
      <c r="I228" s="15">
        <f t="shared" si="10"/>
        <v>1415.3906250000014</v>
      </c>
      <c r="J228" s="16">
        <f>IF(H228=0, 0, ROUND(SUM(H$3:H228)-SUM(G$3:G228),0))</f>
        <v>159939</v>
      </c>
      <c r="K228" s="16">
        <f t="shared" si="11"/>
        <v>310000</v>
      </c>
      <c r="L228" s="15">
        <f>IF($F228&gt;=$B$14, 0, IF(LOWER(LEFT($B$2,1))="s", ($B$3-($F228)*($B$3/ROUND($B$4*12,0)+$B$10)),$B$3-($F228*$B$6-SUM(G$3:G228)+$B$10*$F228)))</f>
        <v>407294.87179487152</v>
      </c>
      <c r="M228" s="15">
        <f>IF(F228&gt;=ROUND($B$4*12,0),0,IF(LOWER(LEFT($B$2,1))="s", ($B$3-($B$3/ROUND($B$4*12,0))*F228),$B$3-(F228*$B$6-SUM(H$3:H228))))</f>
        <v>718044.87179487175</v>
      </c>
    </row>
    <row r="229" spans="1:13" x14ac:dyDescent="0.6">
      <c r="A229" s="4"/>
      <c r="B229" s="4"/>
      <c r="C229" s="4"/>
      <c r="D229" s="4"/>
      <c r="E229" s="23"/>
      <c r="F229" s="10">
        <v>227</v>
      </c>
      <c r="G229" s="11">
        <f>IF(F229&gt;$B$14, 0, IF(LOWER(LEFT($B$2,1))="s", ($B$3-($F229-1)*($B$3/ROUND($B$4*12,0)+$B$10))*($B$5/12),IF(F229=$B$14, ($B$3-((F229-1)*($B$10+$B$6)-SUM(G$3:G228)))*($B$5/12), ABS(IPMT($B$5/12,$F229,NPER($B$5/12,-ABS($B$6)-$B$10,$B$3,0),$B$3)))))</f>
        <v>1863.3740384615373</v>
      </c>
      <c r="H229" s="12">
        <f t="shared" si="9"/>
        <v>3285.0552884615381</v>
      </c>
      <c r="I229" s="11">
        <f t="shared" si="10"/>
        <v>1421.6812500000008</v>
      </c>
      <c r="J229" s="12">
        <f>IF(H229=0, 0, ROUND(SUM(H$3:H229)-SUM(G$3:G229),0))</f>
        <v>161361</v>
      </c>
      <c r="K229" s="12" t="str">
        <f t="shared" si="11"/>
        <v/>
      </c>
      <c r="L229" s="11">
        <f>IF($F229&gt;=$B$14, 0, IF(LOWER(LEFT($B$2,1))="s", ($B$3-($F229)*($B$3/ROUND($B$4*12,0)+$B$10)),$B$3-($F229*$B$6-SUM(G$3:G229)+$B$10*$F229)))</f>
        <v>397570.51282051299</v>
      </c>
      <c r="M229" s="11">
        <f>IF(F229&gt;=ROUND($B$4*12,0),0,IF(LOWER(LEFT($B$2,1))="s", ($B$3-($B$3/ROUND($B$4*12,0))*F229),$B$3-(F229*$B$6-SUM(H$3:H229))))</f>
        <v>709695.51282051275</v>
      </c>
    </row>
    <row r="230" spans="1:13" x14ac:dyDescent="0.6">
      <c r="A230" s="4"/>
      <c r="B230" s="4"/>
      <c r="C230" s="4"/>
      <c r="D230" s="4"/>
      <c r="E230" s="23" t="s">
        <v>42</v>
      </c>
      <c r="F230" s="14">
        <v>228</v>
      </c>
      <c r="G230" s="15">
        <f>IF(F230&gt;$B$14, 0, IF(LOWER(LEFT($B$2,1))="s", ($B$3-($F230-1)*($B$3/ROUND($B$4*12,0)+$B$10))*($B$5/12),IF(F230=$B$14, ($B$3-((F230-1)*($B$10+$B$6)-SUM(G$3:G229)))*($B$5/12), ABS(IPMT($B$5/12,$F230,NPER($B$5/12,-ABS($B$6)-$B$10,$B$3,0),$B$3)))))</f>
        <v>1818.8850961538469</v>
      </c>
      <c r="H230" s="16">
        <f t="shared" si="9"/>
        <v>3246.8569711538457</v>
      </c>
      <c r="I230" s="15">
        <f t="shared" si="10"/>
        <v>1427.9718749999988</v>
      </c>
      <c r="J230" s="16">
        <f>IF(H230=0, 0, ROUND(SUM(H$3:H230)-SUM(G$3:G230),0))</f>
        <v>162789</v>
      </c>
      <c r="K230" s="16" t="str">
        <f t="shared" si="11"/>
        <v/>
      </c>
      <c r="L230" s="15">
        <f>IF($F230&gt;=$B$14, 0, IF(LOWER(LEFT($B$2,1))="s", ($B$3-($F230)*($B$3/ROUND($B$4*12,0)+$B$10)),$B$3-($F230*$B$6-SUM(G$3:G230)+$B$10*$F230)))</f>
        <v>387846.15384615399</v>
      </c>
      <c r="M230" s="15">
        <f>IF(F230&gt;=ROUND($B$4*12,0),0,IF(LOWER(LEFT($B$2,1))="s", ($B$3-($B$3/ROUND($B$4*12,0))*F230),$B$3-(F230*$B$6-SUM(H$3:H230))))</f>
        <v>701346.15384615376</v>
      </c>
    </row>
    <row r="231" spans="1:13" x14ac:dyDescent="0.6">
      <c r="A231" s="4"/>
      <c r="B231" s="4"/>
      <c r="C231" s="4"/>
      <c r="D231" s="4"/>
      <c r="E231" s="23"/>
      <c r="F231" s="10">
        <v>229</v>
      </c>
      <c r="G231" s="11">
        <f>IF(F231&gt;$B$14, 0, IF(LOWER(LEFT($B$2,1))="s", ($B$3-($F231-1)*($B$3/ROUND($B$4*12,0)+$B$10))*($B$5/12),IF(F231=$B$14, ($B$3-((F231-1)*($B$10+$B$6)-SUM(G$3:G230)))*($B$5/12), ABS(IPMT($B$5/12,$F231,NPER($B$5/12,-ABS($B$6)-$B$10,$B$3,0),$B$3)))))</f>
        <v>1774.3961538461544</v>
      </c>
      <c r="H231" s="12">
        <f t="shared" si="9"/>
        <v>3208.6586538461534</v>
      </c>
      <c r="I231" s="11">
        <f t="shared" si="10"/>
        <v>1434.2624999999989</v>
      </c>
      <c r="J231" s="12">
        <f>IF(H231=0, 0, ROUND(SUM(H$3:H231)-SUM(G$3:G231),0))</f>
        <v>164223</v>
      </c>
      <c r="K231" s="12" t="str">
        <f t="shared" si="11"/>
        <v/>
      </c>
      <c r="L231" s="11">
        <f>IF($F231&gt;=$B$14, 0, IF(LOWER(LEFT($B$2,1))="s", ($B$3-($F231)*($B$3/ROUND($B$4*12,0)+$B$10)),$B$3-($F231*$B$6-SUM(G$3:G231)+$B$10*$F231)))</f>
        <v>378121.79487179499</v>
      </c>
      <c r="M231" s="11">
        <f>IF(F231&gt;=ROUND($B$4*12,0),0,IF(LOWER(LEFT($B$2,1))="s", ($B$3-($B$3/ROUND($B$4*12,0))*F231),$B$3-(F231*$B$6-SUM(H$3:H231))))</f>
        <v>692996.79487179476</v>
      </c>
    </row>
    <row r="232" spans="1:13" x14ac:dyDescent="0.6">
      <c r="A232" s="4"/>
      <c r="B232" s="4"/>
      <c r="C232" s="4"/>
      <c r="D232" s="4"/>
      <c r="E232" s="23"/>
      <c r="F232" s="14">
        <v>230</v>
      </c>
      <c r="G232" s="15">
        <f>IF(F232&gt;$B$14, 0, IF(LOWER(LEFT($B$2,1))="s", ($B$3-($F232-1)*($B$3/ROUND($B$4*12,0)+$B$10))*($B$5/12),IF(F232=$B$14, ($B$3-((F232-1)*($B$10+$B$6)-SUM(G$3:G231)))*($B$5/12), ABS(IPMT($B$5/12,$F232,NPER($B$5/12,-ABS($B$6)-$B$10,$B$3,0),$B$3)))))</f>
        <v>1729.9072115384622</v>
      </c>
      <c r="H232" s="16">
        <f t="shared" si="9"/>
        <v>3170.460336538461</v>
      </c>
      <c r="I232" s="15">
        <f t="shared" si="10"/>
        <v>1440.5531249999988</v>
      </c>
      <c r="J232" s="16">
        <f>IF(H232=0, 0, ROUND(SUM(H$3:H232)-SUM(G$3:G232),0))</f>
        <v>165664</v>
      </c>
      <c r="K232" s="16" t="str">
        <f t="shared" si="11"/>
        <v/>
      </c>
      <c r="L232" s="15">
        <f>IF($F232&gt;=$B$14, 0, IF(LOWER(LEFT($B$2,1))="s", ($B$3-($F232)*($B$3/ROUND($B$4*12,0)+$B$10)),$B$3-($F232*$B$6-SUM(G$3:G232)+$B$10*$F232)))</f>
        <v>368397.43589743599</v>
      </c>
      <c r="M232" s="15">
        <f>IF(F232&gt;=ROUND($B$4*12,0),0,IF(LOWER(LEFT($B$2,1))="s", ($B$3-($B$3/ROUND($B$4*12,0))*F232),$B$3-(F232*$B$6-SUM(H$3:H232))))</f>
        <v>684647.43589743576</v>
      </c>
    </row>
    <row r="233" spans="1:13" x14ac:dyDescent="0.6">
      <c r="A233" s="4"/>
      <c r="B233" s="4"/>
      <c r="C233" s="4"/>
      <c r="D233" s="4"/>
      <c r="E233" s="23"/>
      <c r="F233" s="10">
        <v>231</v>
      </c>
      <c r="G233" s="11">
        <f>IF(F233&gt;$B$14, 0, IF(LOWER(LEFT($B$2,1))="s", ($B$3-($F233-1)*($B$3/ROUND($B$4*12,0)+$B$10))*($B$5/12),IF(F233=$B$14, ($B$3-((F233-1)*($B$10+$B$6)-SUM(G$3:G232)))*($B$5/12), ABS(IPMT($B$5/12,$F233,NPER($B$5/12,-ABS($B$6)-$B$10,$B$3,0),$B$3)))))</f>
        <v>1685.4182692307697</v>
      </c>
      <c r="H233" s="12">
        <f t="shared" si="9"/>
        <v>3132.2620192307686</v>
      </c>
      <c r="I233" s="11">
        <f t="shared" si="10"/>
        <v>1446.8437499999989</v>
      </c>
      <c r="J233" s="12">
        <f>IF(H233=0, 0, ROUND(SUM(H$3:H233)-SUM(G$3:G233),0))</f>
        <v>167110</v>
      </c>
      <c r="K233" s="12" t="str">
        <f t="shared" si="11"/>
        <v/>
      </c>
      <c r="L233" s="11">
        <f>IF($F233&gt;=$B$14, 0, IF(LOWER(LEFT($B$2,1))="s", ($B$3-($F233)*($B$3/ROUND($B$4*12,0)+$B$10)),$B$3-($F233*$B$6-SUM(G$3:G233)+$B$10*$F233)))</f>
        <v>358673.07692307699</v>
      </c>
      <c r="M233" s="11">
        <f>IF(F233&gt;=ROUND($B$4*12,0),0,IF(LOWER(LEFT($B$2,1))="s", ($B$3-($B$3/ROUND($B$4*12,0))*F233),$B$3-(F233*$B$6-SUM(H$3:H233))))</f>
        <v>676298.07692307676</v>
      </c>
    </row>
    <row r="234" spans="1:13" x14ac:dyDescent="0.6">
      <c r="A234" s="4"/>
      <c r="B234" s="4"/>
      <c r="C234" s="4"/>
      <c r="D234" s="4"/>
      <c r="E234" s="23"/>
      <c r="F234" s="14">
        <v>232</v>
      </c>
      <c r="G234" s="15">
        <f>IF(F234&gt;$B$14, 0, IF(LOWER(LEFT($B$2,1))="s", ($B$3-($F234-1)*($B$3/ROUND($B$4*12,0)+$B$10))*($B$5/12),IF(F234=$B$14, ($B$3-((F234-1)*($B$10+$B$6)-SUM(G$3:G233)))*($B$5/12), ABS(IPMT($B$5/12,$F234,NPER($B$5/12,-ABS($B$6)-$B$10,$B$3,0),$B$3)))))</f>
        <v>1640.9293269230773</v>
      </c>
      <c r="H234" s="16">
        <f t="shared" si="9"/>
        <v>3094.0637019230762</v>
      </c>
      <c r="I234" s="15">
        <f t="shared" si="10"/>
        <v>1453.134374999999</v>
      </c>
      <c r="J234" s="16">
        <f>IF(H234=0, 0, ROUND(SUM(H$3:H234)-SUM(G$3:G234),0))</f>
        <v>168564</v>
      </c>
      <c r="K234" s="16" t="str">
        <f t="shared" si="11"/>
        <v/>
      </c>
      <c r="L234" s="15">
        <f>IF($F234&gt;=$B$14, 0, IF(LOWER(LEFT($B$2,1))="s", ($B$3-($F234)*($B$3/ROUND($B$4*12,0)+$B$10)),$B$3-($F234*$B$6-SUM(G$3:G234)+$B$10*$F234)))</f>
        <v>348948.717948718</v>
      </c>
      <c r="M234" s="15">
        <f>IF(F234&gt;=ROUND($B$4*12,0),0,IF(LOWER(LEFT($B$2,1))="s", ($B$3-($B$3/ROUND($B$4*12,0))*F234),$B$3-(F234*$B$6-SUM(H$3:H234))))</f>
        <v>667948.717948718</v>
      </c>
    </row>
    <row r="235" spans="1:13" x14ac:dyDescent="0.6">
      <c r="A235" s="4"/>
      <c r="B235" s="4"/>
      <c r="C235" s="4"/>
      <c r="D235" s="4"/>
      <c r="E235" s="23"/>
      <c r="F235" s="10">
        <v>233</v>
      </c>
      <c r="G235" s="11">
        <f>IF(F235&gt;$B$14, 0, IF(LOWER(LEFT($B$2,1))="s", ($B$3-($F235-1)*($B$3/ROUND($B$4*12,0)+$B$10))*($B$5/12),IF(F235=$B$14, ($B$3-((F235-1)*($B$10+$B$6)-SUM(G$3:G234)))*($B$5/12), ABS(IPMT($B$5/12,$F235,NPER($B$5/12,-ABS($B$6)-$B$10,$B$3,0),$B$3)))))</f>
        <v>1596.4403846153848</v>
      </c>
      <c r="H235" s="12">
        <f t="shared" si="9"/>
        <v>3055.8653846153848</v>
      </c>
      <c r="I235" s="11">
        <f t="shared" si="10"/>
        <v>1459.425</v>
      </c>
      <c r="J235" s="12">
        <f>IF(H235=0, 0, ROUND(SUM(H$3:H235)-SUM(G$3:G235),0))</f>
        <v>170023</v>
      </c>
      <c r="K235" s="12">
        <f t="shared" si="11"/>
        <v>320000</v>
      </c>
      <c r="L235" s="11">
        <f>IF($F235&gt;=$B$14, 0, IF(LOWER(LEFT($B$2,1))="s", ($B$3-($F235)*($B$3/ROUND($B$4*12,0)+$B$10)),$B$3-($F235*$B$6-SUM(G$3:G235)+$B$10*$F235)))</f>
        <v>339224.358974359</v>
      </c>
      <c r="M235" s="11">
        <f>IF(F235&gt;=ROUND($B$4*12,0),0,IF(LOWER(LEFT($B$2,1))="s", ($B$3-($B$3/ROUND($B$4*12,0))*F235),$B$3-(F235*$B$6-SUM(H$3:H235))))</f>
        <v>659599.358974359</v>
      </c>
    </row>
    <row r="236" spans="1:13" x14ac:dyDescent="0.6">
      <c r="A236" s="4"/>
      <c r="B236" s="4"/>
      <c r="C236" s="4"/>
      <c r="D236" s="4"/>
      <c r="E236" s="23"/>
      <c r="F236" s="14">
        <v>234</v>
      </c>
      <c r="G236" s="15">
        <f>IF(F236&gt;$B$14, 0, IF(LOWER(LEFT($B$2,1))="s", ($B$3-($F236-1)*($B$3/ROUND($B$4*12,0)+$B$10))*($B$5/12),IF(F236=$B$14, ($B$3-((F236-1)*($B$10+$B$6)-SUM(G$3:G235)))*($B$5/12), ABS(IPMT($B$5/12,$F236,NPER($B$5/12,-ABS($B$6)-$B$10,$B$3,0),$B$3)))))</f>
        <v>1551.9514423076923</v>
      </c>
      <c r="H236" s="16">
        <f t="shared" si="9"/>
        <v>3017.6670673076924</v>
      </c>
      <c r="I236" s="15">
        <f t="shared" si="10"/>
        <v>1465.715625</v>
      </c>
      <c r="J236" s="16">
        <f>IF(H236=0, 0, ROUND(SUM(H$3:H236)-SUM(G$3:G236),0))</f>
        <v>171489</v>
      </c>
      <c r="K236" s="16" t="str">
        <f t="shared" si="11"/>
        <v/>
      </c>
      <c r="L236" s="15">
        <f>IF($F236&gt;=$B$14, 0, IF(LOWER(LEFT($B$2,1))="s", ($B$3-($F236)*($B$3/ROUND($B$4*12,0)+$B$10)),$B$3-($F236*$B$6-SUM(G$3:G236)+$B$10*$F236)))</f>
        <v>329500</v>
      </c>
      <c r="M236" s="15">
        <f>IF(F236&gt;=ROUND($B$4*12,0),0,IF(LOWER(LEFT($B$2,1))="s", ($B$3-($B$3/ROUND($B$4*12,0))*F236),$B$3-(F236*$B$6-SUM(H$3:H236))))</f>
        <v>651250</v>
      </c>
    </row>
    <row r="237" spans="1:13" x14ac:dyDescent="0.6">
      <c r="A237" s="4"/>
      <c r="B237" s="4"/>
      <c r="C237" s="4"/>
      <c r="D237" s="4"/>
      <c r="E237" s="23"/>
      <c r="F237" s="10">
        <v>235</v>
      </c>
      <c r="G237" s="11">
        <f>IF(F237&gt;$B$14, 0, IF(LOWER(LEFT($B$2,1))="s", ($B$3-($F237-1)*($B$3/ROUND($B$4*12,0)+$B$10))*($B$5/12),IF(F237=$B$14, ($B$3-((F237-1)*($B$10+$B$6)-SUM(G$3:G236)))*($B$5/12), ABS(IPMT($B$5/12,$F237,NPER($B$5/12,-ABS($B$6)-$B$10,$B$3,0),$B$3)))))</f>
        <v>1507.4625000000001</v>
      </c>
      <c r="H237" s="12">
        <f t="shared" si="9"/>
        <v>2979.46875</v>
      </c>
      <c r="I237" s="11">
        <f t="shared" si="10"/>
        <v>1472.0062499999999</v>
      </c>
      <c r="J237" s="12">
        <f>IF(H237=0, 0, ROUND(SUM(H$3:H237)-SUM(G$3:G237),0))</f>
        <v>172961</v>
      </c>
      <c r="K237" s="12" t="str">
        <f t="shared" si="11"/>
        <v/>
      </c>
      <c r="L237" s="11">
        <f>IF($F237&gt;=$B$14, 0, IF(LOWER(LEFT($B$2,1))="s", ($B$3-($F237)*($B$3/ROUND($B$4*12,0)+$B$10)),$B$3-($F237*$B$6-SUM(G$3:G237)+$B$10*$F237)))</f>
        <v>319775.641025641</v>
      </c>
      <c r="M237" s="11">
        <f>IF(F237&gt;=ROUND($B$4*12,0),0,IF(LOWER(LEFT($B$2,1))="s", ($B$3-($B$3/ROUND($B$4*12,0))*F237),$B$3-(F237*$B$6-SUM(H$3:H237))))</f>
        <v>642900.641025641</v>
      </c>
    </row>
    <row r="238" spans="1:13" x14ac:dyDescent="0.6">
      <c r="A238" s="4"/>
      <c r="B238" s="4"/>
      <c r="C238" s="4"/>
      <c r="D238" s="4"/>
      <c r="E238" s="23"/>
      <c r="F238" s="14">
        <v>236</v>
      </c>
      <c r="G238" s="15">
        <f>IF(F238&gt;$B$14, 0, IF(LOWER(LEFT($B$2,1))="s", ($B$3-($F238-1)*($B$3/ROUND($B$4*12,0)+$B$10))*($B$5/12),IF(F238=$B$14, ($B$3-((F238-1)*($B$10+$B$6)-SUM(G$3:G237)))*($B$5/12), ABS(IPMT($B$5/12,$F238,NPER($B$5/12,-ABS($B$6)-$B$10,$B$3,0),$B$3)))))</f>
        <v>1462.9735576923076</v>
      </c>
      <c r="H238" s="16">
        <f t="shared" si="9"/>
        <v>2941.2704326923076</v>
      </c>
      <c r="I238" s="15">
        <f t="shared" si="10"/>
        <v>1478.296875</v>
      </c>
      <c r="J238" s="16">
        <f>IF(H238=0, 0, ROUND(SUM(H$3:H238)-SUM(G$3:G238),0))</f>
        <v>174439</v>
      </c>
      <c r="K238" s="16" t="str">
        <f t="shared" si="11"/>
        <v/>
      </c>
      <c r="L238" s="15">
        <f>IF($F238&gt;=$B$14, 0, IF(LOWER(LEFT($B$2,1))="s", ($B$3-($F238)*($B$3/ROUND($B$4*12,0)+$B$10)),$B$3-($F238*$B$6-SUM(G$3:G238)+$B$10*$F238)))</f>
        <v>310051.282051282</v>
      </c>
      <c r="M238" s="15">
        <f>IF(F238&gt;=ROUND($B$4*12,0),0,IF(LOWER(LEFT($B$2,1))="s", ($B$3-($B$3/ROUND($B$4*12,0))*F238),$B$3-(F238*$B$6-SUM(H$3:H238))))</f>
        <v>634551.282051282</v>
      </c>
    </row>
    <row r="239" spans="1:13" x14ac:dyDescent="0.6">
      <c r="A239" s="4"/>
      <c r="B239" s="4"/>
      <c r="C239" s="4"/>
      <c r="D239" s="4"/>
      <c r="E239" s="23"/>
      <c r="F239" s="10">
        <v>237</v>
      </c>
      <c r="G239" s="11">
        <f>IF(F239&gt;$B$14, 0, IF(LOWER(LEFT($B$2,1))="s", ($B$3-($F239-1)*($B$3/ROUND($B$4*12,0)+$B$10))*($B$5/12),IF(F239=$B$14, ($B$3-((F239-1)*($B$10+$B$6)-SUM(G$3:G238)))*($B$5/12), ABS(IPMT($B$5/12,$F239,NPER($B$5/12,-ABS($B$6)-$B$10,$B$3,0),$B$3)))))</f>
        <v>1418.4846153846152</v>
      </c>
      <c r="H239" s="12">
        <f t="shared" si="9"/>
        <v>2903.0721153846152</v>
      </c>
      <c r="I239" s="11">
        <f t="shared" si="10"/>
        <v>1484.5875000000001</v>
      </c>
      <c r="J239" s="12">
        <f>IF(H239=0, 0, ROUND(SUM(H$3:H239)-SUM(G$3:G239),0))</f>
        <v>175924</v>
      </c>
      <c r="K239" s="12" t="str">
        <f t="shared" si="11"/>
        <v/>
      </c>
      <c r="L239" s="11">
        <f>IF($F239&gt;=$B$14, 0, IF(LOWER(LEFT($B$2,1))="s", ($B$3-($F239)*($B$3/ROUND($B$4*12,0)+$B$10)),$B$3-($F239*$B$6-SUM(G$3:G239)+$B$10*$F239)))</f>
        <v>300326.92307692301</v>
      </c>
      <c r="M239" s="11">
        <f>IF(F239&gt;=ROUND($B$4*12,0),0,IF(LOWER(LEFT($B$2,1))="s", ($B$3-($B$3/ROUND($B$4*12,0))*F239),$B$3-(F239*$B$6-SUM(H$3:H239))))</f>
        <v>626201.92307692301</v>
      </c>
    </row>
    <row r="240" spans="1:13" x14ac:dyDescent="0.6">
      <c r="A240" s="4"/>
      <c r="B240" s="4"/>
      <c r="C240" s="4"/>
      <c r="D240" s="4"/>
      <c r="E240" s="23"/>
      <c r="F240" s="14">
        <v>238</v>
      </c>
      <c r="G240" s="15">
        <f>IF(F240&gt;$B$14, 0, IF(LOWER(LEFT($B$2,1))="s", ($B$3-($F240-1)*($B$3/ROUND($B$4*12,0)+$B$10))*($B$5/12),IF(F240=$B$14, ($B$3-((F240-1)*($B$10+$B$6)-SUM(G$3:G239)))*($B$5/12), ABS(IPMT($B$5/12,$F240,NPER($B$5/12,-ABS($B$6)-$B$10,$B$3,0),$B$3)))))</f>
        <v>1373.9956730769227</v>
      </c>
      <c r="H240" s="16">
        <f t="shared" si="9"/>
        <v>2864.8737980769229</v>
      </c>
      <c r="I240" s="15">
        <f t="shared" si="10"/>
        <v>1490.8781250000002</v>
      </c>
      <c r="J240" s="16">
        <f>IF(H240=0, 0, ROUND(SUM(H$3:H240)-SUM(G$3:G240),0))</f>
        <v>177414</v>
      </c>
      <c r="K240" s="16" t="str">
        <f t="shared" si="11"/>
        <v/>
      </c>
      <c r="L240" s="15">
        <f>IF($F240&gt;=$B$14, 0, IF(LOWER(LEFT($B$2,1))="s", ($B$3-($F240)*($B$3/ROUND($B$4*12,0)+$B$10)),$B$3-($F240*$B$6-SUM(G$3:G240)+$B$10*$F240)))</f>
        <v>290602.56410256401</v>
      </c>
      <c r="M240" s="15">
        <f>IF(F240&gt;=ROUND($B$4*12,0),0,IF(LOWER(LEFT($B$2,1))="s", ($B$3-($B$3/ROUND($B$4*12,0))*F240),$B$3-(F240*$B$6-SUM(H$3:H240))))</f>
        <v>617852.56410256401</v>
      </c>
    </row>
    <row r="241" spans="1:13" x14ac:dyDescent="0.6">
      <c r="A241" s="4"/>
      <c r="B241" s="4"/>
      <c r="C241" s="4"/>
      <c r="D241" s="4"/>
      <c r="E241" s="23"/>
      <c r="F241" s="10">
        <v>239</v>
      </c>
      <c r="G241" s="11">
        <f>IF(F241&gt;$B$14, 0, IF(LOWER(LEFT($B$2,1))="s", ($B$3-($F241-1)*($B$3/ROUND($B$4*12,0)+$B$10))*($B$5/12),IF(F241=$B$14, ($B$3-((F241-1)*($B$10+$B$6)-SUM(G$3:G240)))*($B$5/12), ABS(IPMT($B$5/12,$F241,NPER($B$5/12,-ABS($B$6)-$B$10,$B$3,0),$B$3)))))</f>
        <v>1329.5067307692304</v>
      </c>
      <c r="H241" s="12">
        <f t="shared" si="9"/>
        <v>2826.6754807692305</v>
      </c>
      <c r="I241" s="11">
        <f t="shared" si="10"/>
        <v>1497.16875</v>
      </c>
      <c r="J241" s="12">
        <f>IF(H241=0, 0, ROUND(SUM(H$3:H241)-SUM(G$3:G241),0))</f>
        <v>178912</v>
      </c>
      <c r="K241" s="12" t="str">
        <f t="shared" si="11"/>
        <v/>
      </c>
      <c r="L241" s="11">
        <f>IF($F241&gt;=$B$14, 0, IF(LOWER(LEFT($B$2,1))="s", ($B$3-($F241)*($B$3/ROUND($B$4*12,0)+$B$10)),$B$3-($F241*$B$6-SUM(G$3:G241)+$B$10*$F241)))</f>
        <v>280878.20512820501</v>
      </c>
      <c r="M241" s="11">
        <f>IF(F241&gt;=ROUND($B$4*12,0),0,IF(LOWER(LEFT($B$2,1))="s", ($B$3-($B$3/ROUND($B$4*12,0))*F241),$B$3-(F241*$B$6-SUM(H$3:H241))))</f>
        <v>609503.20512820501</v>
      </c>
    </row>
    <row r="242" spans="1:13" x14ac:dyDescent="0.6">
      <c r="A242" s="4"/>
      <c r="B242" s="4"/>
      <c r="C242" s="4"/>
      <c r="D242" s="4"/>
      <c r="E242" s="23" t="s">
        <v>43</v>
      </c>
      <c r="F242" s="14">
        <v>240</v>
      </c>
      <c r="G242" s="15">
        <f>IF(F242&gt;$B$14, 0, IF(LOWER(LEFT($B$2,1))="s", ($B$3-($F242-1)*($B$3/ROUND($B$4*12,0)+$B$10))*($B$5/12),IF(F242=$B$14, ($B$3-((F242-1)*($B$10+$B$6)-SUM(G$3:G241)))*($B$5/12), ABS(IPMT($B$5/12,$F242,NPER($B$5/12,-ABS($B$6)-$B$10,$B$3,0),$B$3)))))</f>
        <v>1285.017788461538</v>
      </c>
      <c r="H242" s="16">
        <f t="shared" si="9"/>
        <v>2788.4771634615381</v>
      </c>
      <c r="I242" s="15">
        <f t="shared" si="10"/>
        <v>1503.4593750000001</v>
      </c>
      <c r="J242" s="16">
        <f>IF(H242=0, 0, ROUND(SUM(H$3:H242)-SUM(G$3:G242),0))</f>
        <v>180415</v>
      </c>
      <c r="K242" s="16">
        <f t="shared" si="11"/>
        <v>330000</v>
      </c>
      <c r="L242" s="15">
        <f>IF($F242&gt;=$B$14, 0, IF(LOWER(LEFT($B$2,1))="s", ($B$3-($F242)*($B$3/ROUND($B$4*12,0)+$B$10)),$B$3-($F242*$B$6-SUM(G$3:G242)+$B$10*$F242)))</f>
        <v>271153.84615384601</v>
      </c>
      <c r="M242" s="15">
        <f>IF(F242&gt;=ROUND($B$4*12,0),0,IF(LOWER(LEFT($B$2,1))="s", ($B$3-($B$3/ROUND($B$4*12,0))*F242),$B$3-(F242*$B$6-SUM(H$3:H242))))</f>
        <v>601153.84615384601</v>
      </c>
    </row>
    <row r="243" spans="1:13" x14ac:dyDescent="0.6">
      <c r="A243" s="4"/>
      <c r="B243" s="4"/>
      <c r="C243" s="4"/>
      <c r="D243" s="4"/>
      <c r="E243" s="23"/>
      <c r="F243" s="10">
        <v>241</v>
      </c>
      <c r="G243" s="11">
        <f>IF(F243&gt;$B$14, 0, IF(LOWER(LEFT($B$2,1))="s", ($B$3-($F243-1)*($B$3/ROUND($B$4*12,0)+$B$10))*($B$5/12),IF(F243=$B$14, ($B$3-((F243-1)*($B$10+$B$6)-SUM(G$3:G242)))*($B$5/12), ABS(IPMT($B$5/12,$F243,NPER($B$5/12,-ABS($B$6)-$B$10,$B$3,0),$B$3)))))</f>
        <v>1240.5288461538455</v>
      </c>
      <c r="H243" s="12">
        <f t="shared" si="9"/>
        <v>2750.2788461538457</v>
      </c>
      <c r="I243" s="11">
        <f t="shared" si="10"/>
        <v>1509.7500000000002</v>
      </c>
      <c r="J243" s="12">
        <f>IF(H243=0, 0, ROUND(SUM(H$3:H243)-SUM(G$3:G243),0))</f>
        <v>181925</v>
      </c>
      <c r="K243" s="12" t="str">
        <f t="shared" si="11"/>
        <v/>
      </c>
      <c r="L243" s="11">
        <f>IF($F243&gt;=$B$14, 0, IF(LOWER(LEFT($B$2,1))="s", ($B$3-($F243)*($B$3/ROUND($B$4*12,0)+$B$10)),$B$3-($F243*$B$6-SUM(G$3:G243)+$B$10*$F243)))</f>
        <v>261429.48717948701</v>
      </c>
      <c r="M243" s="11">
        <f>IF(F243&gt;=ROUND($B$4*12,0),0,IF(LOWER(LEFT($B$2,1))="s", ($B$3-($B$3/ROUND($B$4*12,0))*F243),$B$3-(F243*$B$6-SUM(H$3:H243))))</f>
        <v>592804.48717948701</v>
      </c>
    </row>
    <row r="244" spans="1:13" x14ac:dyDescent="0.6">
      <c r="A244" s="4"/>
      <c r="B244" s="4"/>
      <c r="C244" s="4"/>
      <c r="D244" s="4"/>
      <c r="E244" s="23"/>
      <c r="F244" s="14">
        <v>242</v>
      </c>
      <c r="G244" s="15">
        <f>IF(F244&gt;$B$14, 0, IF(LOWER(LEFT($B$2,1))="s", ($B$3-($F244-1)*($B$3/ROUND($B$4*12,0)+$B$10))*($B$5/12),IF(F244=$B$14, ($B$3-((F244-1)*($B$10+$B$6)-SUM(G$3:G243)))*($B$5/12), ABS(IPMT($B$5/12,$F244,NPER($B$5/12,-ABS($B$6)-$B$10,$B$3,0),$B$3)))))</f>
        <v>1196.039903846153</v>
      </c>
      <c r="H244" s="16">
        <f t="shared" si="9"/>
        <v>2712.0805288461529</v>
      </c>
      <c r="I244" s="15">
        <f t="shared" si="10"/>
        <v>1516.0406249999999</v>
      </c>
      <c r="J244" s="16">
        <f>IF(H244=0, 0, ROUND(SUM(H$3:H244)-SUM(G$3:G244),0))</f>
        <v>183441</v>
      </c>
      <c r="K244" s="16" t="str">
        <f t="shared" si="11"/>
        <v/>
      </c>
      <c r="L244" s="15">
        <f>IF($F244&gt;=$B$14, 0, IF(LOWER(LEFT($B$2,1))="s", ($B$3-($F244)*($B$3/ROUND($B$4*12,0)+$B$10)),$B$3-($F244*$B$6-SUM(G$3:G244)+$B$10*$F244)))</f>
        <v>251705.12820512801</v>
      </c>
      <c r="M244" s="15">
        <f>IF(F244&gt;=ROUND($B$4*12,0),0,IF(LOWER(LEFT($B$2,1))="s", ($B$3-($B$3/ROUND($B$4*12,0))*F244),$B$3-(F244*$B$6-SUM(H$3:H244))))</f>
        <v>584455.12820512825</v>
      </c>
    </row>
    <row r="245" spans="1:13" x14ac:dyDescent="0.6">
      <c r="A245" s="4"/>
      <c r="B245" s="4"/>
      <c r="C245" s="4"/>
      <c r="D245" s="4"/>
      <c r="E245" s="23"/>
      <c r="F245" s="10">
        <v>243</v>
      </c>
      <c r="G245" s="11">
        <f>IF(F245&gt;$B$14, 0, IF(LOWER(LEFT($B$2,1))="s", ($B$3-($F245-1)*($B$3/ROUND($B$4*12,0)+$B$10))*($B$5/12),IF(F245=$B$14, ($B$3-((F245-1)*($B$10+$B$6)-SUM(G$3:G244)))*($B$5/12), ABS(IPMT($B$5/12,$F245,NPER($B$5/12,-ABS($B$6)-$B$10,$B$3,0),$B$3)))))</f>
        <v>1151.5509615384606</v>
      </c>
      <c r="H245" s="12">
        <f t="shared" si="9"/>
        <v>2673.8822115384619</v>
      </c>
      <c r="I245" s="11">
        <f t="shared" si="10"/>
        <v>1522.3312500000013</v>
      </c>
      <c r="J245" s="12">
        <f>IF(H245=0, 0, ROUND(SUM(H$3:H245)-SUM(G$3:G245),0))</f>
        <v>184963</v>
      </c>
      <c r="K245" s="12" t="str">
        <f t="shared" si="11"/>
        <v/>
      </c>
      <c r="L245" s="11">
        <f>IF($F245&gt;=$B$14, 0, IF(LOWER(LEFT($B$2,1))="s", ($B$3-($F245)*($B$3/ROUND($B$4*12,0)+$B$10)),$B$3-($F245*$B$6-SUM(G$3:G245)+$B$10*$F245)))</f>
        <v>241980.76923076902</v>
      </c>
      <c r="M245" s="11">
        <f>IF(F245&gt;=ROUND($B$4*12,0),0,IF(LOWER(LEFT($B$2,1))="s", ($B$3-($B$3/ROUND($B$4*12,0))*F245),$B$3-(F245*$B$6-SUM(H$3:H245))))</f>
        <v>576105.76923076925</v>
      </c>
    </row>
    <row r="246" spans="1:13" x14ac:dyDescent="0.6">
      <c r="A246" s="4"/>
      <c r="B246" s="4"/>
      <c r="C246" s="4"/>
      <c r="D246" s="4"/>
      <c r="E246" s="23"/>
      <c r="F246" s="14">
        <v>244</v>
      </c>
      <c r="G246" s="15">
        <f>IF(F246&gt;$B$14, 0, IF(LOWER(LEFT($B$2,1))="s", ($B$3-($F246-1)*($B$3/ROUND($B$4*12,0)+$B$10))*($B$5/12),IF(F246=$B$14, ($B$3-((F246-1)*($B$10+$B$6)-SUM(G$3:G245)))*($B$5/12), ABS(IPMT($B$5/12,$F246,NPER($B$5/12,-ABS($B$6)-$B$10,$B$3,0),$B$3)))))</f>
        <v>1107.0620192307683</v>
      </c>
      <c r="H246" s="16">
        <f t="shared" si="9"/>
        <v>2635.6838942307695</v>
      </c>
      <c r="I246" s="15">
        <f t="shared" si="10"/>
        <v>1528.6218750000012</v>
      </c>
      <c r="J246" s="16">
        <f>IF(H246=0, 0, ROUND(SUM(H$3:H246)-SUM(G$3:G246),0))</f>
        <v>186492</v>
      </c>
      <c r="K246" s="16" t="str">
        <f t="shared" si="11"/>
        <v/>
      </c>
      <c r="L246" s="15">
        <f>IF($F246&gt;=$B$14, 0, IF(LOWER(LEFT($B$2,1))="s", ($B$3-($F246)*($B$3/ROUND($B$4*12,0)+$B$10)),$B$3-($F246*$B$6-SUM(G$3:G246)+$B$10*$F246)))</f>
        <v>232256.41025641002</v>
      </c>
      <c r="M246" s="15">
        <f>IF(F246&gt;=ROUND($B$4*12,0),0,IF(LOWER(LEFT($B$2,1))="s", ($B$3-($B$3/ROUND($B$4*12,0))*F246),$B$3-(F246*$B$6-SUM(H$3:H246))))</f>
        <v>567756.41025641025</v>
      </c>
    </row>
    <row r="247" spans="1:13" x14ac:dyDescent="0.6">
      <c r="A247" s="4"/>
      <c r="B247" s="4"/>
      <c r="C247" s="4"/>
      <c r="D247" s="4"/>
      <c r="E247" s="23"/>
      <c r="F247" s="10">
        <v>245</v>
      </c>
      <c r="G247" s="11">
        <f>IF(F247&gt;$B$14, 0, IF(LOWER(LEFT($B$2,1))="s", ($B$3-($F247-1)*($B$3/ROUND($B$4*12,0)+$B$10))*($B$5/12),IF(F247=$B$14, ($B$3-((F247-1)*($B$10+$B$6)-SUM(G$3:G246)))*($B$5/12), ABS(IPMT($B$5/12,$F247,NPER($B$5/12,-ABS($B$6)-$B$10,$B$3,0),$B$3)))))</f>
        <v>1062.5730769230759</v>
      </c>
      <c r="H247" s="12">
        <f t="shared" si="9"/>
        <v>2597.4855769230771</v>
      </c>
      <c r="I247" s="11">
        <f t="shared" si="10"/>
        <v>1534.9125000000013</v>
      </c>
      <c r="J247" s="12">
        <f>IF(H247=0, 0, ROUND(SUM(H$3:H247)-SUM(G$3:G247),0))</f>
        <v>188027</v>
      </c>
      <c r="K247" s="12" t="str">
        <f t="shared" si="11"/>
        <v/>
      </c>
      <c r="L247" s="11">
        <f>IF($F247&gt;=$B$14, 0, IF(LOWER(LEFT($B$2,1))="s", ($B$3-($F247)*($B$3/ROUND($B$4*12,0)+$B$10)),$B$3-($F247*$B$6-SUM(G$3:G247)+$B$10*$F247)))</f>
        <v>222532.05128205102</v>
      </c>
      <c r="M247" s="11">
        <f>IF(F247&gt;=ROUND($B$4*12,0),0,IF(LOWER(LEFT($B$2,1))="s", ($B$3-($B$3/ROUND($B$4*12,0))*F247),$B$3-(F247*$B$6-SUM(H$3:H247))))</f>
        <v>559407.05128205125</v>
      </c>
    </row>
    <row r="248" spans="1:13" x14ac:dyDescent="0.6">
      <c r="A248" s="4"/>
      <c r="B248" s="4"/>
      <c r="C248" s="4"/>
      <c r="D248" s="4"/>
      <c r="E248" s="23"/>
      <c r="F248" s="14">
        <v>246</v>
      </c>
      <c r="G248" s="15">
        <f>IF(F248&gt;$B$14, 0, IF(LOWER(LEFT($B$2,1))="s", ($B$3-($F248-1)*($B$3/ROUND($B$4*12,0)+$B$10))*($B$5/12),IF(F248=$B$14, ($B$3-((F248-1)*($B$10+$B$6)-SUM(G$3:G247)))*($B$5/12), ABS(IPMT($B$5/12,$F248,NPER($B$5/12,-ABS($B$6)-$B$10,$B$3,0),$B$3)))))</f>
        <v>1018.0841346153834</v>
      </c>
      <c r="H248" s="16">
        <f t="shared" si="9"/>
        <v>2559.2872596153843</v>
      </c>
      <c r="I248" s="15">
        <f t="shared" si="10"/>
        <v>1541.2031250000009</v>
      </c>
      <c r="J248" s="16">
        <f>IF(H248=0, 0, ROUND(SUM(H$3:H248)-SUM(G$3:G248),0))</f>
        <v>189568</v>
      </c>
      <c r="K248" s="16" t="str">
        <f t="shared" si="11"/>
        <v/>
      </c>
      <c r="L248" s="15">
        <f>IF($F248&gt;=$B$14, 0, IF(LOWER(LEFT($B$2,1))="s", ($B$3-($F248)*($B$3/ROUND($B$4*12,0)+$B$10)),$B$3-($F248*$B$6-SUM(G$3:G248)+$B$10*$F248)))</f>
        <v>212807.69230769202</v>
      </c>
      <c r="M248" s="15">
        <f>IF(F248&gt;=ROUND($B$4*12,0),0,IF(LOWER(LEFT($B$2,1))="s", ($B$3-($B$3/ROUND($B$4*12,0))*F248),$B$3-(F248*$B$6-SUM(H$3:H248))))</f>
        <v>551057.69230769225</v>
      </c>
    </row>
    <row r="249" spans="1:13" x14ac:dyDescent="0.6">
      <c r="A249" s="4"/>
      <c r="B249" s="4"/>
      <c r="C249" s="4"/>
      <c r="D249" s="4"/>
      <c r="E249" s="23"/>
      <c r="F249" s="10">
        <v>247</v>
      </c>
      <c r="G249" s="11">
        <f>IF(F249&gt;$B$14, 0, IF(LOWER(LEFT($B$2,1))="s", ($B$3-($F249-1)*($B$3/ROUND($B$4*12,0)+$B$10))*($B$5/12),IF(F249=$B$14, ($B$3-((F249-1)*($B$10+$B$6)-SUM(G$3:G248)))*($B$5/12), ABS(IPMT($B$5/12,$F249,NPER($B$5/12,-ABS($B$6)-$B$10,$B$3,0),$B$3)))))</f>
        <v>973.59519230769104</v>
      </c>
      <c r="H249" s="12">
        <f t="shared" si="9"/>
        <v>2521.0889423076919</v>
      </c>
      <c r="I249" s="11">
        <f t="shared" si="10"/>
        <v>1547.493750000001</v>
      </c>
      <c r="J249" s="12">
        <f>IF(H249=0, 0, ROUND(SUM(H$3:H249)-SUM(G$3:G249),0))</f>
        <v>191115</v>
      </c>
      <c r="K249" s="12" t="str">
        <f t="shared" si="11"/>
        <v/>
      </c>
      <c r="L249" s="11">
        <f>IF($F249&gt;=$B$14, 0, IF(LOWER(LEFT($B$2,1))="s", ($B$3-($F249)*($B$3/ROUND($B$4*12,0)+$B$10)),$B$3-($F249*$B$6-SUM(G$3:G249)+$B$10*$F249)))</f>
        <v>203083.33333333349</v>
      </c>
      <c r="M249" s="11">
        <f>IF(F249&gt;=ROUND($B$4*12,0),0,IF(LOWER(LEFT($B$2,1))="s", ($B$3-($B$3/ROUND($B$4*12,0))*F249),$B$3-(F249*$B$6-SUM(H$3:H249))))</f>
        <v>542708.33333333326</v>
      </c>
    </row>
    <row r="250" spans="1:13" x14ac:dyDescent="0.6">
      <c r="A250" s="4"/>
      <c r="B250" s="4"/>
      <c r="C250" s="4"/>
      <c r="D250" s="4"/>
      <c r="E250" s="23"/>
      <c r="F250" s="14">
        <v>248</v>
      </c>
      <c r="G250" s="15">
        <f>IF(F250&gt;$B$14, 0, IF(LOWER(LEFT($B$2,1))="s", ($B$3-($F250-1)*($B$3/ROUND($B$4*12,0)+$B$10))*($B$5/12),IF(F250=$B$14, ($B$3-((F250-1)*($B$10+$B$6)-SUM(G$3:G249)))*($B$5/12), ABS(IPMT($B$5/12,$F250,NPER($B$5/12,-ABS($B$6)-$B$10,$B$3,0),$B$3)))))</f>
        <v>929.10625000000073</v>
      </c>
      <c r="H250" s="16">
        <f t="shared" si="9"/>
        <v>2482.8906249999995</v>
      </c>
      <c r="I250" s="15">
        <f t="shared" si="10"/>
        <v>1553.7843749999988</v>
      </c>
      <c r="J250" s="16">
        <f>IF(H250=0, 0, ROUND(SUM(H$3:H250)-SUM(G$3:G250),0))</f>
        <v>192669</v>
      </c>
      <c r="K250" s="16">
        <f t="shared" si="11"/>
        <v>340000</v>
      </c>
      <c r="L250" s="15">
        <f>IF($F250&gt;=$B$14, 0, IF(LOWER(LEFT($B$2,1))="s", ($B$3-($F250)*($B$3/ROUND($B$4*12,0)+$B$10)),$B$3-($F250*$B$6-SUM(G$3:G250)+$B$10*$F250)))</f>
        <v>193358.97435897449</v>
      </c>
      <c r="M250" s="15">
        <f>IF(F250&gt;=ROUND($B$4*12,0),0,IF(LOWER(LEFT($B$2,1))="s", ($B$3-($B$3/ROUND($B$4*12,0))*F250),$B$3-(F250*$B$6-SUM(H$3:H250))))</f>
        <v>534358.97435897426</v>
      </c>
    </row>
    <row r="251" spans="1:13" x14ac:dyDescent="0.6">
      <c r="A251" s="4"/>
      <c r="B251" s="4"/>
      <c r="C251" s="4"/>
      <c r="D251" s="4"/>
      <c r="E251" s="23"/>
      <c r="F251" s="10">
        <v>249</v>
      </c>
      <c r="G251" s="11">
        <f>IF(F251&gt;$B$14, 0, IF(LOWER(LEFT($B$2,1))="s", ($B$3-($F251-1)*($B$3/ROUND($B$4*12,0)+$B$10))*($B$5/12),IF(F251=$B$14, ($B$3-((F251-1)*($B$10+$B$6)-SUM(G$3:G250)))*($B$5/12), ABS(IPMT($B$5/12,$F251,NPER($B$5/12,-ABS($B$6)-$B$10,$B$3,0),$B$3)))))</f>
        <v>884.61730769230826</v>
      </c>
      <c r="H251" s="12">
        <f t="shared" si="9"/>
        <v>2444.6923076923072</v>
      </c>
      <c r="I251" s="11">
        <f t="shared" si="10"/>
        <v>1560.0749999999989</v>
      </c>
      <c r="J251" s="12">
        <f>IF(H251=0, 0, ROUND(SUM(H$3:H251)-SUM(G$3:G251),0))</f>
        <v>194229</v>
      </c>
      <c r="K251" s="12" t="str">
        <f t="shared" si="11"/>
        <v/>
      </c>
      <c r="L251" s="11">
        <f>IF($F251&gt;=$B$14, 0, IF(LOWER(LEFT($B$2,1))="s", ($B$3-($F251)*($B$3/ROUND($B$4*12,0)+$B$10)),$B$3-($F251*$B$6-SUM(G$3:G251)+$B$10*$F251)))</f>
        <v>183634.61538461549</v>
      </c>
      <c r="M251" s="11">
        <f>IF(F251&gt;=ROUND($B$4*12,0),0,IF(LOWER(LEFT($B$2,1))="s", ($B$3-($B$3/ROUND($B$4*12,0))*F251),$B$3-(F251*$B$6-SUM(H$3:H251))))</f>
        <v>526009.61538461526</v>
      </c>
    </row>
    <row r="252" spans="1:13" x14ac:dyDescent="0.6">
      <c r="A252" s="4"/>
      <c r="B252" s="4"/>
      <c r="C252" s="4"/>
      <c r="D252" s="4"/>
      <c r="E252" s="23"/>
      <c r="F252" s="14">
        <v>250</v>
      </c>
      <c r="G252" s="15">
        <f>IF(F252&gt;$B$14, 0, IF(LOWER(LEFT($B$2,1))="s", ($B$3-($F252-1)*($B$3/ROUND($B$4*12,0)+$B$10))*($B$5/12),IF(F252=$B$14, ($B$3-((F252-1)*($B$10+$B$6)-SUM(G$3:G251)))*($B$5/12), ABS(IPMT($B$5/12,$F252,NPER($B$5/12,-ABS($B$6)-$B$10,$B$3,0),$B$3)))))</f>
        <v>840.1283653846159</v>
      </c>
      <c r="H252" s="16">
        <f t="shared" si="9"/>
        <v>2406.4939903846148</v>
      </c>
      <c r="I252" s="15">
        <f t="shared" si="10"/>
        <v>1566.365624999999</v>
      </c>
      <c r="J252" s="16">
        <f>IF(H252=0, 0, ROUND(SUM(H$3:H252)-SUM(G$3:G252),0))</f>
        <v>195796</v>
      </c>
      <c r="K252" s="16" t="str">
        <f t="shared" si="11"/>
        <v/>
      </c>
      <c r="L252" s="15">
        <f>IF($F252&gt;=$B$14, 0, IF(LOWER(LEFT($B$2,1))="s", ($B$3-($F252)*($B$3/ROUND($B$4*12,0)+$B$10)),$B$3-($F252*$B$6-SUM(G$3:G252)+$B$10*$F252)))</f>
        <v>173910.25641025649</v>
      </c>
      <c r="M252" s="15">
        <f>IF(F252&gt;=ROUND($B$4*12,0),0,IF(LOWER(LEFT($B$2,1))="s", ($B$3-($B$3/ROUND($B$4*12,0))*F252),$B$3-(F252*$B$6-SUM(H$3:H252))))</f>
        <v>517660.25641025626</v>
      </c>
    </row>
    <row r="253" spans="1:13" x14ac:dyDescent="0.6">
      <c r="A253" s="4"/>
      <c r="B253" s="4"/>
      <c r="C253" s="4"/>
      <c r="D253" s="4"/>
      <c r="E253" s="23"/>
      <c r="F253" s="10">
        <v>251</v>
      </c>
      <c r="G253" s="11">
        <f>IF(F253&gt;$B$14, 0, IF(LOWER(LEFT($B$2,1))="s", ($B$3-($F253-1)*($B$3/ROUND($B$4*12,0)+$B$10))*($B$5/12),IF(F253=$B$14, ($B$3-((F253-1)*($B$10+$B$6)-SUM(G$3:G252)))*($B$5/12), ABS(IPMT($B$5/12,$F253,NPER($B$5/12,-ABS($B$6)-$B$10,$B$3,0),$B$3)))))</f>
        <v>795.63942307692344</v>
      </c>
      <c r="H253" s="12">
        <f t="shared" si="9"/>
        <v>2368.2956730769224</v>
      </c>
      <c r="I253" s="11">
        <f t="shared" si="10"/>
        <v>1572.6562499999991</v>
      </c>
      <c r="J253" s="12">
        <f>IF(H253=0, 0, ROUND(SUM(H$3:H253)-SUM(G$3:G253),0))</f>
        <v>197368</v>
      </c>
      <c r="K253" s="12" t="str">
        <f t="shared" si="11"/>
        <v/>
      </c>
      <c r="L253" s="11">
        <f>IF($F253&gt;=$B$14, 0, IF(LOWER(LEFT($B$2,1))="s", ($B$3-($F253)*($B$3/ROUND($B$4*12,0)+$B$10)),$B$3-($F253*$B$6-SUM(G$3:G253)+$B$10*$F253)))</f>
        <v>164185.8974358975</v>
      </c>
      <c r="M253" s="11">
        <f>IF(F253&gt;=ROUND($B$4*12,0),0,IF(LOWER(LEFT($B$2,1))="s", ($B$3-($B$3/ROUND($B$4*12,0))*F253),$B$3-(F253*$B$6-SUM(H$3:H253))))</f>
        <v>509310.89743589726</v>
      </c>
    </row>
    <row r="254" spans="1:13" x14ac:dyDescent="0.6">
      <c r="A254" s="4"/>
      <c r="B254" s="4"/>
      <c r="C254" s="4"/>
      <c r="D254" s="4"/>
      <c r="E254" s="23" t="s">
        <v>44</v>
      </c>
      <c r="F254" s="14">
        <v>252</v>
      </c>
      <c r="G254" s="15">
        <f>IF(F254&gt;$B$14, 0, IF(LOWER(LEFT($B$2,1))="s", ($B$3-($F254-1)*($B$3/ROUND($B$4*12,0)+$B$10))*($B$5/12),IF(F254=$B$14, ($B$3-((F254-1)*($B$10+$B$6)-SUM(G$3:G253)))*($B$5/12), ABS(IPMT($B$5/12,$F254,NPER($B$5/12,-ABS($B$6)-$B$10,$B$3,0),$B$3)))))</f>
        <v>751.15048076923108</v>
      </c>
      <c r="H254" s="16">
        <f t="shared" si="9"/>
        <v>2330.09735576923</v>
      </c>
      <c r="I254" s="15">
        <f t="shared" si="10"/>
        <v>1578.946874999999</v>
      </c>
      <c r="J254" s="16">
        <f>IF(H254=0, 0, ROUND(SUM(H$3:H254)-SUM(G$3:G254),0))</f>
        <v>198947</v>
      </c>
      <c r="K254" s="16" t="str">
        <f t="shared" si="11"/>
        <v/>
      </c>
      <c r="L254" s="15">
        <f>IF($F254&gt;=$B$14, 0, IF(LOWER(LEFT($B$2,1))="s", ($B$3-($F254)*($B$3/ROUND($B$4*12,0)+$B$10)),$B$3-($F254*$B$6-SUM(G$3:G254)+$B$10*$F254)))</f>
        <v>154461.5384615385</v>
      </c>
      <c r="M254" s="15">
        <f>IF(F254&gt;=ROUND($B$4*12,0),0,IF(LOWER(LEFT($B$2,1))="s", ($B$3-($B$3/ROUND($B$4*12,0))*F254),$B$3-(F254*$B$6-SUM(H$3:H254))))</f>
        <v>500961.5384615385</v>
      </c>
    </row>
    <row r="255" spans="1:13" x14ac:dyDescent="0.6">
      <c r="A255" s="4"/>
      <c r="B255" s="4"/>
      <c r="C255" s="4"/>
      <c r="D255" s="4"/>
      <c r="E255" s="23"/>
      <c r="F255" s="10">
        <v>253</v>
      </c>
      <c r="G255" s="11">
        <f>IF(F255&gt;$B$14, 0, IF(LOWER(LEFT($B$2,1))="s", ($B$3-($F255-1)*($B$3/ROUND($B$4*12,0)+$B$10))*($B$5/12),IF(F255=$B$14, ($B$3-((F255-1)*($B$10+$B$6)-SUM(G$3:G254)))*($B$5/12), ABS(IPMT($B$5/12,$F255,NPER($B$5/12,-ABS($B$6)-$B$10,$B$3,0),$B$3)))))</f>
        <v>706.66153846153861</v>
      </c>
      <c r="H255" s="12">
        <f t="shared" si="9"/>
        <v>2291.8990384615386</v>
      </c>
      <c r="I255" s="11">
        <f t="shared" si="10"/>
        <v>1585.2375</v>
      </c>
      <c r="J255" s="12">
        <f>IF(H255=0, 0, ROUND(SUM(H$3:H255)-SUM(G$3:G255),0))</f>
        <v>200533</v>
      </c>
      <c r="K255" s="12" t="str">
        <f t="shared" si="11"/>
        <v/>
      </c>
      <c r="L255" s="11">
        <f>IF($F255&gt;=$B$14, 0, IF(LOWER(LEFT($B$2,1))="s", ($B$3-($F255)*($B$3/ROUND($B$4*12,0)+$B$10)),$B$3-($F255*$B$6-SUM(G$3:G255)+$B$10*$F255)))</f>
        <v>144737.1794871795</v>
      </c>
      <c r="M255" s="11">
        <f>IF(F255&gt;=ROUND($B$4*12,0),0,IF(LOWER(LEFT($B$2,1))="s", ($B$3-($B$3/ROUND($B$4*12,0))*F255),$B$3-(F255*$B$6-SUM(H$3:H255))))</f>
        <v>492612.1794871795</v>
      </c>
    </row>
    <row r="256" spans="1:13" x14ac:dyDescent="0.6">
      <c r="A256" s="4"/>
      <c r="B256" s="4"/>
      <c r="C256" s="4"/>
      <c r="D256" s="4"/>
      <c r="E256" s="23"/>
      <c r="F256" s="14">
        <v>254</v>
      </c>
      <c r="G256" s="15">
        <f>IF(F256&gt;$B$14, 0, IF(LOWER(LEFT($B$2,1))="s", ($B$3-($F256-1)*($B$3/ROUND($B$4*12,0)+$B$10))*($B$5/12),IF(F256=$B$14, ($B$3-((F256-1)*($B$10+$B$6)-SUM(G$3:G255)))*($B$5/12), ABS(IPMT($B$5/12,$F256,NPER($B$5/12,-ABS($B$6)-$B$10,$B$3,0),$B$3)))))</f>
        <v>662.17259615384626</v>
      </c>
      <c r="H256" s="16">
        <f t="shared" si="9"/>
        <v>2253.7007211538462</v>
      </c>
      <c r="I256" s="15">
        <f t="shared" si="10"/>
        <v>1591.5281249999998</v>
      </c>
      <c r="J256" s="16">
        <f>IF(H256=0, 0, ROUND(SUM(H$3:H256)-SUM(G$3:G256),0))</f>
        <v>202124</v>
      </c>
      <c r="K256" s="16" t="str">
        <f t="shared" si="11"/>
        <v/>
      </c>
      <c r="L256" s="15">
        <f>IF($F256&gt;=$B$14, 0, IF(LOWER(LEFT($B$2,1))="s", ($B$3-($F256)*($B$3/ROUND($B$4*12,0)+$B$10)),$B$3-($F256*$B$6-SUM(G$3:G256)+$B$10*$F256)))</f>
        <v>135012.8205128205</v>
      </c>
      <c r="M256" s="15">
        <f>IF(F256&gt;=ROUND($B$4*12,0),0,IF(LOWER(LEFT($B$2,1))="s", ($B$3-($B$3/ROUND($B$4*12,0))*F256),$B$3-(F256*$B$6-SUM(H$3:H256))))</f>
        <v>484262.8205128205</v>
      </c>
    </row>
    <row r="257" spans="1:13" x14ac:dyDescent="0.6">
      <c r="A257" s="4"/>
      <c r="B257" s="4"/>
      <c r="C257" s="4"/>
      <c r="D257" s="4"/>
      <c r="E257" s="23"/>
      <c r="F257" s="10">
        <v>255</v>
      </c>
      <c r="G257" s="11">
        <f>IF(F257&gt;$B$14, 0, IF(LOWER(LEFT($B$2,1))="s", ($B$3-($F257-1)*($B$3/ROUND($B$4*12,0)+$B$10))*($B$5/12),IF(F257=$B$14, ($B$3-((F257-1)*($B$10+$B$6)-SUM(G$3:G256)))*($B$5/12), ABS(IPMT($B$5/12,$F257,NPER($B$5/12,-ABS($B$6)-$B$10,$B$3,0),$B$3)))))</f>
        <v>617.68365384615379</v>
      </c>
      <c r="H257" s="12">
        <f t="shared" si="9"/>
        <v>2215.5024038461538</v>
      </c>
      <c r="I257" s="11">
        <f t="shared" si="10"/>
        <v>1597.8187499999999</v>
      </c>
      <c r="J257" s="12">
        <f>IF(H257=0, 0, ROUND(SUM(H$3:H257)-SUM(G$3:G257),0))</f>
        <v>203722</v>
      </c>
      <c r="K257" s="12">
        <f t="shared" si="11"/>
        <v>350000</v>
      </c>
      <c r="L257" s="11">
        <f>IF($F257&gt;=$B$14, 0, IF(LOWER(LEFT($B$2,1))="s", ($B$3-($F257)*($B$3/ROUND($B$4*12,0)+$B$10)),$B$3-($F257*$B$6-SUM(G$3:G257)+$B$10*$F257)))</f>
        <v>125288.4615384615</v>
      </c>
      <c r="M257" s="11">
        <f>IF(F257&gt;=ROUND($B$4*12,0),0,IF(LOWER(LEFT($B$2,1))="s", ($B$3-($B$3/ROUND($B$4*12,0))*F257),$B$3-(F257*$B$6-SUM(H$3:H257))))</f>
        <v>475913.4615384615</v>
      </c>
    </row>
    <row r="258" spans="1:13" x14ac:dyDescent="0.6">
      <c r="A258" s="4"/>
      <c r="B258" s="4"/>
      <c r="C258" s="4"/>
      <c r="D258" s="4"/>
      <c r="E258" s="23"/>
      <c r="F258" s="14">
        <v>256</v>
      </c>
      <c r="G258" s="15">
        <f>IF(F258&gt;$B$14, 0, IF(LOWER(LEFT($B$2,1))="s", ($B$3-($F258-1)*($B$3/ROUND($B$4*12,0)+$B$10))*($B$5/12),IF(F258=$B$14, ($B$3-((F258-1)*($B$10+$B$6)-SUM(G$3:G257)))*($B$5/12), ABS(IPMT($B$5/12,$F258,NPER($B$5/12,-ABS($B$6)-$B$10,$B$3,0),$B$3)))))</f>
        <v>573.19471153846143</v>
      </c>
      <c r="H258" s="16">
        <f t="shared" si="9"/>
        <v>2177.3040865384614</v>
      </c>
      <c r="I258" s="15">
        <f t="shared" si="10"/>
        <v>1604.109375</v>
      </c>
      <c r="J258" s="16">
        <f>IF(H258=0, 0, ROUND(SUM(H$3:H258)-SUM(G$3:G258),0))</f>
        <v>205326</v>
      </c>
      <c r="K258" s="16" t="str">
        <f t="shared" si="11"/>
        <v/>
      </c>
      <c r="L258" s="15">
        <f>IF($F258&gt;=$B$14, 0, IF(LOWER(LEFT($B$2,1))="s", ($B$3-($F258)*($B$3/ROUND($B$4*12,0)+$B$10)),$B$3-($F258*$B$6-SUM(G$3:G258)+$B$10*$F258)))</f>
        <v>115564.1025641025</v>
      </c>
      <c r="M258" s="15">
        <f>IF(F258&gt;=ROUND($B$4*12,0),0,IF(LOWER(LEFT($B$2,1))="s", ($B$3-($B$3/ROUND($B$4*12,0))*F258),$B$3-(F258*$B$6-SUM(H$3:H258))))</f>
        <v>467564.1025641025</v>
      </c>
    </row>
    <row r="259" spans="1:13" x14ac:dyDescent="0.6">
      <c r="A259" s="4"/>
      <c r="B259" s="4"/>
      <c r="C259" s="4"/>
      <c r="D259" s="4"/>
      <c r="E259" s="23"/>
      <c r="F259" s="10">
        <v>257</v>
      </c>
      <c r="G259" s="11">
        <f>IF(F259&gt;$B$14, 0, IF(LOWER(LEFT($B$2,1))="s", ($B$3-($F259-1)*($B$3/ROUND($B$4*12,0)+$B$10))*($B$5/12),IF(F259=$B$14, ($B$3-((F259-1)*($B$10+$B$6)-SUM(G$3:G258)))*($B$5/12), ABS(IPMT($B$5/12,$F259,NPER($B$5/12,-ABS($B$6)-$B$10,$B$3,0),$B$3)))))</f>
        <v>528.70576923076896</v>
      </c>
      <c r="H259" s="12">
        <f t="shared" ref="H259:H322" si="12">IF(OR($B$3&lt;=0,F259&gt;ROUND($B$4*12,0)),0,IF(LOWER(LEFT($B$2,1))="s", ($B$3-(F259-1)*($B$3/ROUND($B$4*12,0)))*($B$5/12),ABS(IPMT($B$5/12,F259,ROUND(NPER($B$5/12,-ABS($B$6),$B$3,0),0),$B$3))))</f>
        <v>2139.1057692307691</v>
      </c>
      <c r="I259" s="11">
        <f t="shared" ref="I259:I322" si="13">H259-G259</f>
        <v>1610.4</v>
      </c>
      <c r="J259" s="12">
        <f>IF(H259=0, 0, ROUND(SUM(H$3:H259)-SUM(G$3:G259),0))</f>
        <v>206936</v>
      </c>
      <c r="K259" s="12" t="str">
        <f t="shared" si="11"/>
        <v/>
      </c>
      <c r="L259" s="11">
        <f>IF($F259&gt;=$B$14, 0, IF(LOWER(LEFT($B$2,1))="s", ($B$3-($F259)*($B$3/ROUND($B$4*12,0)+$B$10)),$B$3-($F259*$B$6-SUM(G$3:G259)+$B$10*$F259)))</f>
        <v>105839.74358974351</v>
      </c>
      <c r="M259" s="11">
        <f>IF(F259&gt;=ROUND($B$4*12,0),0,IF(LOWER(LEFT($B$2,1))="s", ($B$3-($B$3/ROUND($B$4*12,0))*F259),$B$3-(F259*$B$6-SUM(H$3:H259))))</f>
        <v>459214.74358974351</v>
      </c>
    </row>
    <row r="260" spans="1:13" x14ac:dyDescent="0.6">
      <c r="A260" s="4"/>
      <c r="B260" s="4"/>
      <c r="C260" s="4"/>
      <c r="D260" s="4"/>
      <c r="E260" s="23"/>
      <c r="F260" s="14">
        <v>258</v>
      </c>
      <c r="G260" s="15">
        <f>IF(F260&gt;$B$14, 0, IF(LOWER(LEFT($B$2,1))="s", ($B$3-($F260-1)*($B$3/ROUND($B$4*12,0)+$B$10))*($B$5/12),IF(F260=$B$14, ($B$3-((F260-1)*($B$10+$B$6)-SUM(G$3:G259)))*($B$5/12), ABS(IPMT($B$5/12,$F260,NPER($B$5/12,-ABS($B$6)-$B$10,$B$3,0),$B$3)))))</f>
        <v>484.21682692307655</v>
      </c>
      <c r="H260" s="16">
        <f t="shared" si="12"/>
        <v>2100.9074519230767</v>
      </c>
      <c r="I260" s="15">
        <f t="shared" si="13"/>
        <v>1616.6906250000002</v>
      </c>
      <c r="J260" s="16">
        <f>IF(H260=0, 0, ROUND(SUM(H$3:H260)-SUM(G$3:G260),0))</f>
        <v>208553</v>
      </c>
      <c r="K260" s="16" t="str">
        <f t="shared" ref="K260:K323" si="14">IF(F260&gt;$B$14,"",IF(ROUNDDOWN(M259-L259,-(LEN(TEXT(INT(ABS(M259-L259)),0))-2)) = ROUNDDOWN(M260-L260,-(LEN(TEXT(INT(ABS(M260-L260)),0))-2)), "", ROUNDDOWN(M260-L260,-(LEN(TEXT(INT(ABS(M260-L260)),0))-2))))</f>
        <v/>
      </c>
      <c r="L260" s="15">
        <f>IF($F260&gt;=$B$14, 0, IF(LOWER(LEFT($B$2,1))="s", ($B$3-($F260)*($B$3/ROUND($B$4*12,0)+$B$10)),$B$3-($F260*$B$6-SUM(G$3:G260)+$B$10*$F260)))</f>
        <v>96115.384615384508</v>
      </c>
      <c r="M260" s="15">
        <f>IF(F260&gt;=ROUND($B$4*12,0),0,IF(LOWER(LEFT($B$2,1))="s", ($B$3-($B$3/ROUND($B$4*12,0))*F260),$B$3-(F260*$B$6-SUM(H$3:H260))))</f>
        <v>450865.38461538451</v>
      </c>
    </row>
    <row r="261" spans="1:13" x14ac:dyDescent="0.6">
      <c r="A261" s="4"/>
      <c r="B261" s="4"/>
      <c r="C261" s="4"/>
      <c r="D261" s="4"/>
      <c r="E261" s="23"/>
      <c r="F261" s="10">
        <v>259</v>
      </c>
      <c r="G261" s="11">
        <f>IF(F261&gt;$B$14, 0, IF(LOWER(LEFT($B$2,1))="s", ($B$3-($F261-1)*($B$3/ROUND($B$4*12,0)+$B$10))*($B$5/12),IF(F261=$B$14, ($B$3-((F261-1)*($B$10+$B$6)-SUM(G$3:G260)))*($B$5/12), ABS(IPMT($B$5/12,$F261,NPER($B$5/12,-ABS($B$6)-$B$10,$B$3,0),$B$3)))))</f>
        <v>439.72788461538414</v>
      </c>
      <c r="H261" s="12">
        <f t="shared" si="12"/>
        <v>2062.7091346153843</v>
      </c>
      <c r="I261" s="11">
        <f t="shared" si="13"/>
        <v>1622.9812500000003</v>
      </c>
      <c r="J261" s="12">
        <f>IF(H261=0, 0, ROUND(SUM(H$3:H261)-SUM(G$3:G261),0))</f>
        <v>210176</v>
      </c>
      <c r="K261" s="12" t="str">
        <f t="shared" si="14"/>
        <v/>
      </c>
      <c r="L261" s="11">
        <f>IF($F261&gt;=$B$14, 0, IF(LOWER(LEFT($B$2,1))="s", ($B$3-($F261)*($B$3/ROUND($B$4*12,0)+$B$10)),$B$3-($F261*$B$6-SUM(G$3:G261)+$B$10*$F261)))</f>
        <v>86391.02564102551</v>
      </c>
      <c r="M261" s="11">
        <f>IF(F261&gt;=ROUND($B$4*12,0),0,IF(LOWER(LEFT($B$2,1))="s", ($B$3-($B$3/ROUND($B$4*12,0))*F261),$B$3-(F261*$B$6-SUM(H$3:H261))))</f>
        <v>442516.02564102551</v>
      </c>
    </row>
    <row r="262" spans="1:13" x14ac:dyDescent="0.6">
      <c r="A262" s="4"/>
      <c r="B262" s="4"/>
      <c r="C262" s="4"/>
      <c r="D262" s="4"/>
      <c r="E262" s="23"/>
      <c r="F262" s="14">
        <v>260</v>
      </c>
      <c r="G262" s="15">
        <f>IF(F262&gt;$B$14, 0, IF(LOWER(LEFT($B$2,1))="s", ($B$3-($F262-1)*($B$3/ROUND($B$4*12,0)+$B$10))*($B$5/12),IF(F262=$B$14, ($B$3-((F262-1)*($B$10+$B$6)-SUM(G$3:G261)))*($B$5/12), ABS(IPMT($B$5/12,$F262,NPER($B$5/12,-ABS($B$6)-$B$10,$B$3,0),$B$3)))))</f>
        <v>395.23894230769173</v>
      </c>
      <c r="H262" s="16">
        <f t="shared" si="12"/>
        <v>2024.5108173076917</v>
      </c>
      <c r="I262" s="15">
        <f t="shared" si="13"/>
        <v>1629.2718749999999</v>
      </c>
      <c r="J262" s="16">
        <f>IF(H262=0, 0, ROUND(SUM(H$3:H262)-SUM(G$3:G262),0))</f>
        <v>211805</v>
      </c>
      <c r="K262" s="16" t="str">
        <f t="shared" si="14"/>
        <v/>
      </c>
      <c r="L262" s="15">
        <f>IF($F262&gt;=$B$14, 0, IF(LOWER(LEFT($B$2,1))="s", ($B$3-($F262)*($B$3/ROUND($B$4*12,0)+$B$10)),$B$3-($F262*$B$6-SUM(G$3:G262)+$B$10*$F262)))</f>
        <v>76666.666666666511</v>
      </c>
      <c r="M262" s="15">
        <f>IF(F262&gt;=ROUND($B$4*12,0),0,IF(LOWER(LEFT($B$2,1))="s", ($B$3-($B$3/ROUND($B$4*12,0))*F262),$B$3-(F262*$B$6-SUM(H$3:H262))))</f>
        <v>434166.66666666651</v>
      </c>
    </row>
    <row r="263" spans="1:13" x14ac:dyDescent="0.6">
      <c r="A263" s="4"/>
      <c r="B263" s="4"/>
      <c r="C263" s="4"/>
      <c r="D263" s="4"/>
      <c r="E263" s="23"/>
      <c r="F263" s="10">
        <v>261</v>
      </c>
      <c r="G263" s="11">
        <f>IF(F263&gt;$B$14, 0, IF(LOWER(LEFT($B$2,1))="s", ($B$3-($F263-1)*($B$3/ROUND($B$4*12,0)+$B$10))*($B$5/12),IF(F263=$B$14, ($B$3-((F263-1)*($B$10+$B$6)-SUM(G$3:G262)))*($B$5/12), ABS(IPMT($B$5/12,$F263,NPER($B$5/12,-ABS($B$6)-$B$10,$B$3,0),$B$3)))))</f>
        <v>350.74999999999932</v>
      </c>
      <c r="H263" s="12">
        <f t="shared" si="12"/>
        <v>1986.3124999999993</v>
      </c>
      <c r="I263" s="11">
        <f t="shared" si="13"/>
        <v>1635.5625</v>
      </c>
      <c r="J263" s="12">
        <f>IF(H263=0, 0, ROUND(SUM(H$3:H263)-SUM(G$3:G263),0))</f>
        <v>213441</v>
      </c>
      <c r="K263" s="12" t="str">
        <f t="shared" si="14"/>
        <v/>
      </c>
      <c r="L263" s="11">
        <f>IF($F263&gt;=$B$14, 0, IF(LOWER(LEFT($B$2,1))="s", ($B$3-($F263)*($B$3/ROUND($B$4*12,0)+$B$10)),$B$3-($F263*$B$6-SUM(G$3:G263)+$B$10*$F263)))</f>
        <v>66942.307692307513</v>
      </c>
      <c r="M263" s="11">
        <f>IF(F263&gt;=ROUND($B$4*12,0),0,IF(LOWER(LEFT($B$2,1))="s", ($B$3-($B$3/ROUND($B$4*12,0))*F263),$B$3-(F263*$B$6-SUM(H$3:H263))))</f>
        <v>425817.30769230751</v>
      </c>
    </row>
    <row r="264" spans="1:13" x14ac:dyDescent="0.6">
      <c r="A264" s="4"/>
      <c r="B264" s="4"/>
      <c r="C264" s="4"/>
      <c r="D264" s="4"/>
      <c r="E264" s="23"/>
      <c r="F264" s="14">
        <v>262</v>
      </c>
      <c r="G264" s="15">
        <f>IF(F264&gt;$B$14, 0, IF(LOWER(LEFT($B$2,1))="s", ($B$3-($F264-1)*($B$3/ROUND($B$4*12,0)+$B$10))*($B$5/12),IF(F264=$B$14, ($B$3-((F264-1)*($B$10+$B$6)-SUM(G$3:G263)))*($B$5/12), ABS(IPMT($B$5/12,$F264,NPER($B$5/12,-ABS($B$6)-$B$10,$B$3,0),$B$3)))))</f>
        <v>306.26105769230691</v>
      </c>
      <c r="H264" s="16">
        <f t="shared" si="12"/>
        <v>1948.1141826923069</v>
      </c>
      <c r="I264" s="15">
        <f t="shared" si="13"/>
        <v>1641.8531250000001</v>
      </c>
      <c r="J264" s="16">
        <f>IF(H264=0, 0, ROUND(SUM(H$3:H264)-SUM(G$3:G264),0))</f>
        <v>215083</v>
      </c>
      <c r="K264" s="16">
        <f t="shared" si="14"/>
        <v>360000</v>
      </c>
      <c r="L264" s="15">
        <f>IF($F264&gt;=$B$14, 0, IF(LOWER(LEFT($B$2,1))="s", ($B$3-($F264)*($B$3/ROUND($B$4*12,0)+$B$10)),$B$3-($F264*$B$6-SUM(G$3:G264)+$B$10*$F264)))</f>
        <v>57217.948717948515</v>
      </c>
      <c r="M264" s="15">
        <f>IF(F264&gt;=ROUND($B$4*12,0),0,IF(LOWER(LEFT($B$2,1))="s", ($B$3-($B$3/ROUND($B$4*12,0))*F264),$B$3-(F264*$B$6-SUM(H$3:H264))))</f>
        <v>417467.94871794851</v>
      </c>
    </row>
    <row r="265" spans="1:13" x14ac:dyDescent="0.6">
      <c r="A265" s="4"/>
      <c r="B265" s="4"/>
      <c r="C265" s="4"/>
      <c r="D265" s="4"/>
      <c r="E265" s="23"/>
      <c r="F265" s="10">
        <v>263</v>
      </c>
      <c r="G265" s="11">
        <f>IF(F265&gt;$B$14, 0, IF(LOWER(LEFT($B$2,1))="s", ($B$3-($F265-1)*($B$3/ROUND($B$4*12,0)+$B$10))*($B$5/12),IF(F265=$B$14, ($B$3-((F265-1)*($B$10+$B$6)-SUM(G$3:G264)))*($B$5/12), ABS(IPMT($B$5/12,$F265,NPER($B$5/12,-ABS($B$6)-$B$10,$B$3,0),$B$3)))))</f>
        <v>261.77211538461444</v>
      </c>
      <c r="H265" s="12">
        <f t="shared" si="12"/>
        <v>1909.9158653846146</v>
      </c>
      <c r="I265" s="11">
        <f t="shared" si="13"/>
        <v>1648.1437500000002</v>
      </c>
      <c r="J265" s="12">
        <f>IF(H265=0, 0, ROUND(SUM(H$3:H265)-SUM(G$3:G265),0))</f>
        <v>216731</v>
      </c>
      <c r="K265" s="12" t="str">
        <f t="shared" si="14"/>
        <v/>
      </c>
      <c r="L265" s="11">
        <f>IF($F265&gt;=$B$14, 0, IF(LOWER(LEFT($B$2,1))="s", ($B$3-($F265)*($B$3/ROUND($B$4*12,0)+$B$10)),$B$3-($F265*$B$6-SUM(G$3:G265)+$B$10*$F265)))</f>
        <v>47493.589743589517</v>
      </c>
      <c r="M265" s="11">
        <f>IF(F265&gt;=ROUND($B$4*12,0),0,IF(LOWER(LEFT($B$2,1))="s", ($B$3-($B$3/ROUND($B$4*12,0))*F265),$B$3-(F265*$B$6-SUM(H$3:H265))))</f>
        <v>409118.58974358952</v>
      </c>
    </row>
    <row r="266" spans="1:13" x14ac:dyDescent="0.6">
      <c r="A266" s="4"/>
      <c r="B266" s="4"/>
      <c r="C266" s="4"/>
      <c r="D266" s="4"/>
      <c r="E266" s="23" t="s">
        <v>45</v>
      </c>
      <c r="F266" s="14">
        <v>264</v>
      </c>
      <c r="G266" s="15">
        <f>IF(F266&gt;$B$14, 0, IF(LOWER(LEFT($B$2,1))="s", ($B$3-($F266-1)*($B$3/ROUND($B$4*12,0)+$B$10))*($B$5/12),IF(F266=$B$14, ($B$3-((F266-1)*($B$10+$B$6)-SUM(G$3:G265)))*($B$5/12), ABS(IPMT($B$5/12,$F266,NPER($B$5/12,-ABS($B$6)-$B$10,$B$3,0),$B$3)))))</f>
        <v>217.28317307692205</v>
      </c>
      <c r="H266" s="16">
        <f t="shared" si="12"/>
        <v>1871.717548076922</v>
      </c>
      <c r="I266" s="15">
        <f t="shared" si="13"/>
        <v>1654.4343749999998</v>
      </c>
      <c r="J266" s="16">
        <f>IF(H266=0, 0, ROUND(SUM(H$3:H266)-SUM(G$3:G266),0))</f>
        <v>218385</v>
      </c>
      <c r="K266" s="16" t="str">
        <f t="shared" si="14"/>
        <v/>
      </c>
      <c r="L266" s="15">
        <f>IF($F266&gt;=$B$14, 0, IF(LOWER(LEFT($B$2,1))="s", ($B$3-($F266)*($B$3/ROUND($B$4*12,0)+$B$10)),$B$3-($F266*$B$6-SUM(G$3:G266)+$B$10*$F266)))</f>
        <v>37769.230769230518</v>
      </c>
      <c r="M266" s="15">
        <f>IF(F266&gt;=ROUND($B$4*12,0),0,IF(LOWER(LEFT($B$2,1))="s", ($B$3-($B$3/ROUND($B$4*12,0))*F266),$B$3-(F266*$B$6-SUM(H$3:H266))))</f>
        <v>400769.23076923052</v>
      </c>
    </row>
    <row r="267" spans="1:13" x14ac:dyDescent="0.6">
      <c r="A267" s="4"/>
      <c r="B267" s="4"/>
      <c r="C267" s="4"/>
      <c r="D267" s="4"/>
      <c r="E267" s="23"/>
      <c r="F267" s="10">
        <v>265</v>
      </c>
      <c r="G267" s="11">
        <f>IF(F267&gt;$B$14, 0, IF(LOWER(LEFT($B$2,1))="s", ($B$3-($F267-1)*($B$3/ROUND($B$4*12,0)+$B$10))*($B$5/12),IF(F267=$B$14, ($B$3-((F267-1)*($B$10+$B$6)-SUM(G$3:G266)))*($B$5/12), ABS(IPMT($B$5/12,$F267,NPER($B$5/12,-ABS($B$6)-$B$10,$B$3,0),$B$3)))))</f>
        <v>172.79423076922961</v>
      </c>
      <c r="H267" s="12">
        <f t="shared" si="12"/>
        <v>1833.5192307692296</v>
      </c>
      <c r="I267" s="11">
        <f t="shared" si="13"/>
        <v>1660.7249999999999</v>
      </c>
      <c r="J267" s="12">
        <f>IF(H267=0, 0, ROUND(SUM(H$3:H267)-SUM(G$3:G267),0))</f>
        <v>220046</v>
      </c>
      <c r="K267" s="12" t="str">
        <f t="shared" si="14"/>
        <v/>
      </c>
      <c r="L267" s="11">
        <f>IF($F267&gt;=$B$14, 0, IF(LOWER(LEFT($B$2,1))="s", ($B$3-($F267)*($B$3/ROUND($B$4*12,0)+$B$10)),$B$3-($F267*$B$6-SUM(G$3:G267)+$B$10*$F267)))</f>
        <v>28044.87179487152</v>
      </c>
      <c r="M267" s="11">
        <f>IF(F267&gt;=ROUND($B$4*12,0),0,IF(LOWER(LEFT($B$2,1))="s", ($B$3-($B$3/ROUND($B$4*12,0))*F267),$B$3-(F267*$B$6-SUM(H$3:H267))))</f>
        <v>392419.87179487152</v>
      </c>
    </row>
    <row r="268" spans="1:13" x14ac:dyDescent="0.6">
      <c r="A268" s="4"/>
      <c r="B268" s="4"/>
      <c r="C268" s="4"/>
      <c r="D268" s="4"/>
      <c r="E268" s="23"/>
      <c r="F268" s="14">
        <v>266</v>
      </c>
      <c r="G268" s="15">
        <f>IF(F268&gt;$B$14, 0, IF(LOWER(LEFT($B$2,1))="s", ($B$3-($F268-1)*($B$3/ROUND($B$4*12,0)+$B$10))*($B$5/12),IF(F268=$B$14, ($B$3-((F268-1)*($B$10+$B$6)-SUM(G$3:G267)))*($B$5/12), ABS(IPMT($B$5/12,$F268,NPER($B$5/12,-ABS($B$6)-$B$10,$B$3,0),$B$3)))))</f>
        <v>128.3052884615372</v>
      </c>
      <c r="H268" s="16">
        <f t="shared" si="12"/>
        <v>1795.3209134615372</v>
      </c>
      <c r="I268" s="15">
        <f t="shared" si="13"/>
        <v>1667.015625</v>
      </c>
      <c r="J268" s="16">
        <f>IF(H268=0, 0, ROUND(SUM(H$3:H268)-SUM(G$3:G268),0))</f>
        <v>221713</v>
      </c>
      <c r="K268" s="16" t="str">
        <f t="shared" si="14"/>
        <v/>
      </c>
      <c r="L268" s="15">
        <f>IF($F268&gt;=$B$14, 0, IF(LOWER(LEFT($B$2,1))="s", ($B$3-($F268)*($B$3/ROUND($B$4*12,0)+$B$10)),$B$3-($F268*$B$6-SUM(G$3:G268)+$B$10*$F268)))</f>
        <v>18320.512820512988</v>
      </c>
      <c r="M268" s="15">
        <f>IF(F268&gt;=ROUND($B$4*12,0),0,IF(LOWER(LEFT($B$2,1))="s", ($B$3-($B$3/ROUND($B$4*12,0))*F268),$B$3-(F268*$B$6-SUM(H$3:H268))))</f>
        <v>384070.51282051299</v>
      </c>
    </row>
    <row r="269" spans="1:13" x14ac:dyDescent="0.6">
      <c r="A269" s="4"/>
      <c r="B269" s="4"/>
      <c r="C269" s="4"/>
      <c r="D269" s="4"/>
      <c r="E269" s="23"/>
      <c r="F269" s="10">
        <v>267</v>
      </c>
      <c r="G269" s="11">
        <f>IF(F269&gt;$B$14, 0, IF(LOWER(LEFT($B$2,1))="s", ($B$3-($F269-1)*($B$3/ROUND($B$4*12,0)+$B$10))*($B$5/12),IF(F269=$B$14, ($B$3-((F269-1)*($B$10+$B$6)-SUM(G$3:G268)))*($B$5/12), ABS(IPMT($B$5/12,$F269,NPER($B$5/12,-ABS($B$6)-$B$10,$B$3,0),$B$3)))))</f>
        <v>83.816346153846922</v>
      </c>
      <c r="H269" s="12">
        <f t="shared" si="12"/>
        <v>1757.1225961538469</v>
      </c>
      <c r="I269" s="11">
        <f t="shared" si="13"/>
        <v>1673.3062499999999</v>
      </c>
      <c r="J269" s="12">
        <f>IF(H269=0, 0, ROUND(SUM(H$3:H269)-SUM(G$3:G269),0))</f>
        <v>223386</v>
      </c>
      <c r="K269" s="12" t="str">
        <f t="shared" si="14"/>
        <v/>
      </c>
      <c r="L269" s="11">
        <f>IF($F269&gt;=$B$14, 0, IF(LOWER(LEFT($B$2,1))="s", ($B$3-($F269)*($B$3/ROUND($B$4*12,0)+$B$10)),$B$3-($F269*$B$6-SUM(G$3:G269)+$B$10*$F269)))</f>
        <v>8596.1538461539894</v>
      </c>
      <c r="M269" s="11">
        <f>IF(F269&gt;=ROUND($B$4*12,0),0,IF(LOWER(LEFT($B$2,1))="s", ($B$3-($B$3/ROUND($B$4*12,0))*F269),$B$3-(F269*$B$6-SUM(H$3:H269))))</f>
        <v>375721.15384615399</v>
      </c>
    </row>
    <row r="270" spans="1:13" x14ac:dyDescent="0.6">
      <c r="A270" s="4"/>
      <c r="B270" s="4"/>
      <c r="C270" s="4"/>
      <c r="D270" s="4"/>
      <c r="E270" s="23"/>
      <c r="F270" s="14">
        <v>268</v>
      </c>
      <c r="G270" s="15">
        <f>IF(F270&gt;$B$14, 0, IF(LOWER(LEFT($B$2,1))="s", ($B$3-($F270-1)*($B$3/ROUND($B$4*12,0)+$B$10))*($B$5/12),IF(F270=$B$14, ($B$3-((F270-1)*($B$10+$B$6)-SUM(G$3:G269)))*($B$5/12), ABS(IPMT($B$5/12,$F270,NPER($B$5/12,-ABS($B$6)-$B$10,$B$3,0),$B$3)))))</f>
        <v>39.327403846154503</v>
      </c>
      <c r="H270" s="16">
        <f t="shared" si="12"/>
        <v>1718.9242788461545</v>
      </c>
      <c r="I270" s="15">
        <f t="shared" si="13"/>
        <v>1679.596875</v>
      </c>
      <c r="J270" s="16">
        <f>IF(H270=0, 0, ROUND(SUM(H$3:H270)-SUM(G$3:G270),0))</f>
        <v>225066</v>
      </c>
      <c r="K270" s="16" t="str">
        <f t="shared" si="14"/>
        <v/>
      </c>
      <c r="L270" s="15">
        <f>IF($F270&gt;=$B$14, 0, IF(LOWER(LEFT($B$2,1))="s", ($B$3-($F270)*($B$3/ROUND($B$4*12,0)+$B$10)),$B$3-($F270*$B$6-SUM(G$3:G270)+$B$10*$F270)))</f>
        <v>0</v>
      </c>
      <c r="M270" s="15">
        <f>IF(F270&gt;=ROUND($B$4*12,0),0,IF(LOWER(LEFT($B$2,1))="s", ($B$3-($B$3/ROUND($B$4*12,0))*F270),$B$3-(F270*$B$6-SUM(H$3:H270))))</f>
        <v>367371.79487179499</v>
      </c>
    </row>
    <row r="271" spans="1:13" x14ac:dyDescent="0.6">
      <c r="A271" s="4"/>
      <c r="B271" s="4"/>
      <c r="C271" s="4"/>
      <c r="D271" s="4"/>
      <c r="E271" s="23"/>
      <c r="F271" s="10">
        <v>269</v>
      </c>
      <c r="G271" s="11">
        <f>IF(F271&gt;$B$14, 0, IF(LOWER(LEFT($B$2,1))="s", ($B$3-($F271-1)*($B$3/ROUND($B$4*12,0)+$B$10))*($B$5/12),IF(F271=$B$14, ($B$3-((F271-1)*($B$10+$B$6)-SUM(G$3:G270)))*($B$5/12), ABS(IPMT($B$5/12,$F271,NPER($B$5/12,-ABS($B$6)-$B$10,$B$3,0),$B$3)))))</f>
        <v>0</v>
      </c>
      <c r="H271" s="12">
        <f t="shared" si="12"/>
        <v>1680.7259615384621</v>
      </c>
      <c r="I271" s="11">
        <f t="shared" si="13"/>
        <v>1680.7259615384621</v>
      </c>
      <c r="J271" s="12">
        <f>IF(H271=0, 0, ROUND(SUM(H$3:H271)-SUM(G$3:G271),0))</f>
        <v>226747</v>
      </c>
      <c r="K271" s="12" t="str">
        <f t="shared" si="14"/>
        <v/>
      </c>
      <c r="L271" s="11">
        <f>IF($F271&gt;=$B$14, 0, IF(LOWER(LEFT($B$2,1))="s", ($B$3-($F271)*($B$3/ROUND($B$4*12,0)+$B$10)),$B$3-($F271*$B$6-SUM(G$3:G271)+$B$10*$F271)))</f>
        <v>0</v>
      </c>
      <c r="M271" s="11">
        <f>IF(F271&gt;=ROUND($B$4*12,0),0,IF(LOWER(LEFT($B$2,1))="s", ($B$3-($B$3/ROUND($B$4*12,0))*F271),$B$3-(F271*$B$6-SUM(H$3:H271))))</f>
        <v>359022.43589743599</v>
      </c>
    </row>
    <row r="272" spans="1:13" x14ac:dyDescent="0.6">
      <c r="A272" s="4"/>
      <c r="B272" s="4"/>
      <c r="C272" s="4"/>
      <c r="D272" s="4"/>
      <c r="E272" s="23"/>
      <c r="F272" s="14">
        <v>270</v>
      </c>
      <c r="G272" s="15">
        <f>IF(F272&gt;$B$14, 0, IF(LOWER(LEFT($B$2,1))="s", ($B$3-($F272-1)*($B$3/ROUND($B$4*12,0)+$B$10))*($B$5/12),IF(F272=$B$14, ($B$3-((F272-1)*($B$10+$B$6)-SUM(G$3:G271)))*($B$5/12), ABS(IPMT($B$5/12,$F272,NPER($B$5/12,-ABS($B$6)-$B$10,$B$3,0),$B$3)))))</f>
        <v>0</v>
      </c>
      <c r="H272" s="16">
        <f t="shared" si="12"/>
        <v>1642.5276442307697</v>
      </c>
      <c r="I272" s="15">
        <f t="shared" si="13"/>
        <v>1642.5276442307697</v>
      </c>
      <c r="J272" s="16">
        <f>IF(H272=0, 0, ROUND(SUM(H$3:H272)-SUM(G$3:G272),0))</f>
        <v>228389</v>
      </c>
      <c r="K272" s="16" t="str">
        <f t="shared" si="14"/>
        <v/>
      </c>
      <c r="L272" s="15">
        <f>IF($F272&gt;=$B$14, 0, IF(LOWER(LEFT($B$2,1))="s", ($B$3-($F272)*($B$3/ROUND($B$4*12,0)+$B$10)),$B$3-($F272*$B$6-SUM(G$3:G272)+$B$10*$F272)))</f>
        <v>0</v>
      </c>
      <c r="M272" s="15">
        <f>IF(F272&gt;=ROUND($B$4*12,0),0,IF(LOWER(LEFT($B$2,1))="s", ($B$3-($B$3/ROUND($B$4*12,0))*F272),$B$3-(F272*$B$6-SUM(H$3:H272))))</f>
        <v>350673.07692307699</v>
      </c>
    </row>
    <row r="273" spans="1:13" x14ac:dyDescent="0.6">
      <c r="A273" s="4"/>
      <c r="B273" s="4"/>
      <c r="C273" s="4"/>
      <c r="D273" s="4"/>
      <c r="E273" s="23"/>
      <c r="F273" s="10">
        <v>271</v>
      </c>
      <c r="G273" s="11">
        <f>IF(F273&gt;$B$14, 0, IF(LOWER(LEFT($B$2,1))="s", ($B$3-($F273-1)*($B$3/ROUND($B$4*12,0)+$B$10))*($B$5/12),IF(F273=$B$14, ($B$3-((F273-1)*($B$10+$B$6)-SUM(G$3:G272)))*($B$5/12), ABS(IPMT($B$5/12,$F273,NPER($B$5/12,-ABS($B$6)-$B$10,$B$3,0),$B$3)))))</f>
        <v>0</v>
      </c>
      <c r="H273" s="12">
        <f t="shared" si="12"/>
        <v>1604.3293269230774</v>
      </c>
      <c r="I273" s="11">
        <f t="shared" si="13"/>
        <v>1604.3293269230774</v>
      </c>
      <c r="J273" s="12">
        <f>IF(H273=0, 0, ROUND(SUM(H$3:H273)-SUM(G$3:G273),0))</f>
        <v>229994</v>
      </c>
      <c r="K273" s="12" t="str">
        <f t="shared" si="14"/>
        <v/>
      </c>
      <c r="L273" s="11">
        <f>IF($F273&gt;=$B$14, 0, IF(LOWER(LEFT($B$2,1))="s", ($B$3-($F273)*($B$3/ROUND($B$4*12,0)+$B$10)),$B$3-($F273*$B$6-SUM(G$3:G273)+$B$10*$F273)))</f>
        <v>0</v>
      </c>
      <c r="M273" s="11">
        <f>IF(F273&gt;=ROUND($B$4*12,0),0,IF(LOWER(LEFT($B$2,1))="s", ($B$3-($B$3/ROUND($B$4*12,0))*F273),$B$3-(F273*$B$6-SUM(H$3:H273))))</f>
        <v>342323.717948718</v>
      </c>
    </row>
    <row r="274" spans="1:13" x14ac:dyDescent="0.6">
      <c r="A274" s="4"/>
      <c r="B274" s="4"/>
      <c r="C274" s="4"/>
      <c r="D274" s="4"/>
      <c r="E274" s="23"/>
      <c r="F274" s="14">
        <v>272</v>
      </c>
      <c r="G274" s="15">
        <f>IF(F274&gt;$B$14, 0, IF(LOWER(LEFT($B$2,1))="s", ($B$3-($F274-1)*($B$3/ROUND($B$4*12,0)+$B$10))*($B$5/12),IF(F274=$B$14, ($B$3-((F274-1)*($B$10+$B$6)-SUM(G$3:G273)))*($B$5/12), ABS(IPMT($B$5/12,$F274,NPER($B$5/12,-ABS($B$6)-$B$10,$B$3,0),$B$3)))))</f>
        <v>0</v>
      </c>
      <c r="H274" s="16">
        <f t="shared" si="12"/>
        <v>1566.1310096153848</v>
      </c>
      <c r="I274" s="15">
        <f t="shared" si="13"/>
        <v>1566.1310096153848</v>
      </c>
      <c r="J274" s="16">
        <f>IF(H274=0, 0, ROUND(SUM(H$3:H274)-SUM(G$3:G274),0))</f>
        <v>231560</v>
      </c>
      <c r="K274" s="16" t="str">
        <f t="shared" si="14"/>
        <v/>
      </c>
      <c r="L274" s="15">
        <f>IF($F274&gt;=$B$14, 0, IF(LOWER(LEFT($B$2,1))="s", ($B$3-($F274)*($B$3/ROUND($B$4*12,0)+$B$10)),$B$3-($F274*$B$6-SUM(G$3:G274)+$B$10*$F274)))</f>
        <v>0</v>
      </c>
      <c r="M274" s="15">
        <f>IF(F274&gt;=ROUND($B$4*12,0),0,IF(LOWER(LEFT($B$2,1))="s", ($B$3-($B$3/ROUND($B$4*12,0))*F274),$B$3-(F274*$B$6-SUM(H$3:H274))))</f>
        <v>333974.358974359</v>
      </c>
    </row>
    <row r="275" spans="1:13" x14ac:dyDescent="0.6">
      <c r="A275" s="4"/>
      <c r="B275" s="4"/>
      <c r="C275" s="4"/>
      <c r="D275" s="4"/>
      <c r="E275" s="23"/>
      <c r="F275" s="10">
        <v>273</v>
      </c>
      <c r="G275" s="11">
        <f>IF(F275&gt;$B$14, 0, IF(LOWER(LEFT($B$2,1))="s", ($B$3-($F275-1)*($B$3/ROUND($B$4*12,0)+$B$10))*($B$5/12),IF(F275=$B$14, ($B$3-((F275-1)*($B$10+$B$6)-SUM(G$3:G274)))*($B$5/12), ABS(IPMT($B$5/12,$F275,NPER($B$5/12,-ABS($B$6)-$B$10,$B$3,0),$B$3)))))</f>
        <v>0</v>
      </c>
      <c r="H275" s="12">
        <f t="shared" si="12"/>
        <v>1527.9326923076924</v>
      </c>
      <c r="I275" s="11">
        <f t="shared" si="13"/>
        <v>1527.9326923076924</v>
      </c>
      <c r="J275" s="12">
        <f>IF(H275=0, 0, ROUND(SUM(H$3:H275)-SUM(G$3:G275),0))</f>
        <v>233088</v>
      </c>
      <c r="K275" s="12" t="str">
        <f t="shared" si="14"/>
        <v/>
      </c>
      <c r="L275" s="11">
        <f>IF($F275&gt;=$B$14, 0, IF(LOWER(LEFT($B$2,1))="s", ($B$3-($F275)*($B$3/ROUND($B$4*12,0)+$B$10)),$B$3-($F275*$B$6-SUM(G$3:G275)+$B$10*$F275)))</f>
        <v>0</v>
      </c>
      <c r="M275" s="11">
        <f>IF(F275&gt;=ROUND($B$4*12,0),0,IF(LOWER(LEFT($B$2,1))="s", ($B$3-($B$3/ROUND($B$4*12,0))*F275),$B$3-(F275*$B$6-SUM(H$3:H275))))</f>
        <v>325625</v>
      </c>
    </row>
    <row r="276" spans="1:13" x14ac:dyDescent="0.6">
      <c r="A276" s="4"/>
      <c r="B276" s="4"/>
      <c r="C276" s="4"/>
      <c r="D276" s="4"/>
      <c r="E276" s="23"/>
      <c r="F276" s="14">
        <v>274</v>
      </c>
      <c r="G276" s="15">
        <f>IF(F276&gt;$B$14, 0, IF(LOWER(LEFT($B$2,1))="s", ($B$3-($F276-1)*($B$3/ROUND($B$4*12,0)+$B$10))*($B$5/12),IF(F276=$B$14, ($B$3-((F276-1)*($B$10+$B$6)-SUM(G$3:G275)))*($B$5/12), ABS(IPMT($B$5/12,$F276,NPER($B$5/12,-ABS($B$6)-$B$10,$B$3,0),$B$3)))))</f>
        <v>0</v>
      </c>
      <c r="H276" s="16">
        <f t="shared" si="12"/>
        <v>1489.734375</v>
      </c>
      <c r="I276" s="15">
        <f t="shared" si="13"/>
        <v>1489.734375</v>
      </c>
      <c r="J276" s="16">
        <f>IF(H276=0, 0, ROUND(SUM(H$3:H276)-SUM(G$3:G276),0))</f>
        <v>234577</v>
      </c>
      <c r="K276" s="16" t="str">
        <f t="shared" si="14"/>
        <v/>
      </c>
      <c r="L276" s="15">
        <f>IF($F276&gt;=$B$14, 0, IF(LOWER(LEFT($B$2,1))="s", ($B$3-($F276)*($B$3/ROUND($B$4*12,0)+$B$10)),$B$3-($F276*$B$6-SUM(G$3:G276)+$B$10*$F276)))</f>
        <v>0</v>
      </c>
      <c r="M276" s="15">
        <f>IF(F276&gt;=ROUND($B$4*12,0),0,IF(LOWER(LEFT($B$2,1))="s", ($B$3-($B$3/ROUND($B$4*12,0))*F276),$B$3-(F276*$B$6-SUM(H$3:H276))))</f>
        <v>317275.641025641</v>
      </c>
    </row>
    <row r="277" spans="1:13" x14ac:dyDescent="0.6">
      <c r="A277" s="4"/>
      <c r="B277" s="4"/>
      <c r="C277" s="4"/>
      <c r="D277" s="4"/>
      <c r="E277" s="23"/>
      <c r="F277" s="10">
        <v>275</v>
      </c>
      <c r="G277" s="11">
        <f>IF(F277&gt;$B$14, 0, IF(LOWER(LEFT($B$2,1))="s", ($B$3-($F277-1)*($B$3/ROUND($B$4*12,0)+$B$10))*($B$5/12),IF(F277=$B$14, ($B$3-((F277-1)*($B$10+$B$6)-SUM(G$3:G276)))*($B$5/12), ABS(IPMT($B$5/12,$F277,NPER($B$5/12,-ABS($B$6)-$B$10,$B$3,0),$B$3)))))</f>
        <v>0</v>
      </c>
      <c r="H277" s="12">
        <f t="shared" si="12"/>
        <v>1451.5360576923076</v>
      </c>
      <c r="I277" s="11">
        <f t="shared" si="13"/>
        <v>1451.5360576923076</v>
      </c>
      <c r="J277" s="12">
        <f>IF(H277=0, 0, ROUND(SUM(H$3:H277)-SUM(G$3:G277),0))</f>
        <v>236029</v>
      </c>
      <c r="K277" s="12" t="str">
        <f t="shared" si="14"/>
        <v/>
      </c>
      <c r="L277" s="11">
        <f>IF($F277&gt;=$B$14, 0, IF(LOWER(LEFT($B$2,1))="s", ($B$3-($F277)*($B$3/ROUND($B$4*12,0)+$B$10)),$B$3-($F277*$B$6-SUM(G$3:G277)+$B$10*$F277)))</f>
        <v>0</v>
      </c>
      <c r="M277" s="11">
        <f>IF(F277&gt;=ROUND($B$4*12,0),0,IF(LOWER(LEFT($B$2,1))="s", ($B$3-($B$3/ROUND($B$4*12,0))*F277),$B$3-(F277*$B$6-SUM(H$3:H277))))</f>
        <v>308926.282051282</v>
      </c>
    </row>
    <row r="278" spans="1:13" x14ac:dyDescent="0.6">
      <c r="A278" s="4"/>
      <c r="B278" s="4"/>
      <c r="C278" s="4"/>
      <c r="D278" s="4"/>
      <c r="E278" s="23" t="s">
        <v>46</v>
      </c>
      <c r="F278" s="14">
        <v>276</v>
      </c>
      <c r="G278" s="15">
        <f>IF(F278&gt;$B$14, 0, IF(LOWER(LEFT($B$2,1))="s", ($B$3-($F278-1)*($B$3/ROUND($B$4*12,0)+$B$10))*($B$5/12),IF(F278=$B$14, ($B$3-((F278-1)*($B$10+$B$6)-SUM(G$3:G277)))*($B$5/12), ABS(IPMT($B$5/12,$F278,NPER($B$5/12,-ABS($B$6)-$B$10,$B$3,0),$B$3)))))</f>
        <v>0</v>
      </c>
      <c r="H278" s="16">
        <f t="shared" si="12"/>
        <v>1413.3377403846152</v>
      </c>
      <c r="I278" s="15">
        <f t="shared" si="13"/>
        <v>1413.3377403846152</v>
      </c>
      <c r="J278" s="16">
        <f>IF(H278=0, 0, ROUND(SUM(H$3:H278)-SUM(G$3:G278),0))</f>
        <v>237442</v>
      </c>
      <c r="K278" s="16" t="str">
        <f t="shared" si="14"/>
        <v/>
      </c>
      <c r="L278" s="15">
        <f>IF($F278&gt;=$B$14, 0, IF(LOWER(LEFT($B$2,1))="s", ($B$3-($F278)*($B$3/ROUND($B$4*12,0)+$B$10)),$B$3-($F278*$B$6-SUM(G$3:G278)+$B$10*$F278)))</f>
        <v>0</v>
      </c>
      <c r="M278" s="15">
        <f>IF(F278&gt;=ROUND($B$4*12,0),0,IF(LOWER(LEFT($B$2,1))="s", ($B$3-($B$3/ROUND($B$4*12,0))*F278),$B$3-(F278*$B$6-SUM(H$3:H278))))</f>
        <v>300576.92307692301</v>
      </c>
    </row>
    <row r="279" spans="1:13" x14ac:dyDescent="0.6">
      <c r="A279" s="4"/>
      <c r="B279" s="4"/>
      <c r="C279" s="4"/>
      <c r="D279" s="4"/>
      <c r="E279" s="23"/>
      <c r="F279" s="10">
        <v>277</v>
      </c>
      <c r="G279" s="11">
        <f>IF(F279&gt;$B$14, 0, IF(LOWER(LEFT($B$2,1))="s", ($B$3-($F279-1)*($B$3/ROUND($B$4*12,0)+$B$10))*($B$5/12),IF(F279=$B$14, ($B$3-((F279-1)*($B$10+$B$6)-SUM(G$3:G278)))*($B$5/12), ABS(IPMT($B$5/12,$F279,NPER($B$5/12,-ABS($B$6)-$B$10,$B$3,0),$B$3)))))</f>
        <v>0</v>
      </c>
      <c r="H279" s="12">
        <f t="shared" si="12"/>
        <v>1375.1394230769229</v>
      </c>
      <c r="I279" s="11">
        <f t="shared" si="13"/>
        <v>1375.1394230769229</v>
      </c>
      <c r="J279" s="12">
        <f>IF(H279=0, 0, ROUND(SUM(H$3:H279)-SUM(G$3:G279),0))</f>
        <v>238817</v>
      </c>
      <c r="K279" s="12" t="str">
        <f t="shared" si="14"/>
        <v/>
      </c>
      <c r="L279" s="11">
        <f>IF($F279&gt;=$B$14, 0, IF(LOWER(LEFT($B$2,1))="s", ($B$3-($F279)*($B$3/ROUND($B$4*12,0)+$B$10)),$B$3-($F279*$B$6-SUM(G$3:G279)+$B$10*$F279)))</f>
        <v>0</v>
      </c>
      <c r="M279" s="11">
        <f>IF(F279&gt;=ROUND($B$4*12,0),0,IF(LOWER(LEFT($B$2,1))="s", ($B$3-($B$3/ROUND($B$4*12,0))*F279),$B$3-(F279*$B$6-SUM(H$3:H279))))</f>
        <v>292227.56410256401</v>
      </c>
    </row>
    <row r="280" spans="1:13" x14ac:dyDescent="0.6">
      <c r="A280" s="4"/>
      <c r="B280" s="4"/>
      <c r="C280" s="4"/>
      <c r="D280" s="4"/>
      <c r="E280" s="23"/>
      <c r="F280" s="14">
        <v>278</v>
      </c>
      <c r="G280" s="15">
        <f>IF(F280&gt;$B$14, 0, IF(LOWER(LEFT($B$2,1))="s", ($B$3-($F280-1)*($B$3/ROUND($B$4*12,0)+$B$10))*($B$5/12),IF(F280=$B$14, ($B$3-((F280-1)*($B$10+$B$6)-SUM(G$3:G279)))*($B$5/12), ABS(IPMT($B$5/12,$F280,NPER($B$5/12,-ABS($B$6)-$B$10,$B$3,0),$B$3)))))</f>
        <v>0</v>
      </c>
      <c r="H280" s="16">
        <f t="shared" si="12"/>
        <v>1336.9411057692303</v>
      </c>
      <c r="I280" s="15">
        <f t="shared" si="13"/>
        <v>1336.9411057692303</v>
      </c>
      <c r="J280" s="16">
        <f>IF(H280=0, 0, ROUND(SUM(H$3:H280)-SUM(G$3:G280),0))</f>
        <v>240154</v>
      </c>
      <c r="K280" s="16" t="str">
        <f t="shared" si="14"/>
        <v/>
      </c>
      <c r="L280" s="15">
        <f>IF($F280&gt;=$B$14, 0, IF(LOWER(LEFT($B$2,1))="s", ($B$3-($F280)*($B$3/ROUND($B$4*12,0)+$B$10)),$B$3-($F280*$B$6-SUM(G$3:G280)+$B$10*$F280)))</f>
        <v>0</v>
      </c>
      <c r="M280" s="15">
        <f>IF(F280&gt;=ROUND($B$4*12,0),0,IF(LOWER(LEFT($B$2,1))="s", ($B$3-($B$3/ROUND($B$4*12,0))*F280),$B$3-(F280*$B$6-SUM(H$3:H280))))</f>
        <v>283878.20512820501</v>
      </c>
    </row>
    <row r="281" spans="1:13" x14ac:dyDescent="0.6">
      <c r="A281" s="4"/>
      <c r="B281" s="4"/>
      <c r="C281" s="4"/>
      <c r="D281" s="4"/>
      <c r="E281" s="23"/>
      <c r="F281" s="10">
        <v>279</v>
      </c>
      <c r="G281" s="11">
        <f>IF(F281&gt;$B$14, 0, IF(LOWER(LEFT($B$2,1))="s", ($B$3-($F281-1)*($B$3/ROUND($B$4*12,0)+$B$10))*($B$5/12),IF(F281=$B$14, ($B$3-((F281-1)*($B$10+$B$6)-SUM(G$3:G280)))*($B$5/12), ABS(IPMT($B$5/12,$F281,NPER($B$5/12,-ABS($B$6)-$B$10,$B$3,0),$B$3)))))</f>
        <v>0</v>
      </c>
      <c r="H281" s="12">
        <f t="shared" si="12"/>
        <v>1298.7427884615379</v>
      </c>
      <c r="I281" s="11">
        <f t="shared" si="13"/>
        <v>1298.7427884615379</v>
      </c>
      <c r="J281" s="12">
        <f>IF(H281=0, 0, ROUND(SUM(H$3:H281)-SUM(G$3:G281),0))</f>
        <v>241453</v>
      </c>
      <c r="K281" s="12" t="str">
        <f t="shared" si="14"/>
        <v/>
      </c>
      <c r="L281" s="11">
        <f>IF($F281&gt;=$B$14, 0, IF(LOWER(LEFT($B$2,1))="s", ($B$3-($F281)*($B$3/ROUND($B$4*12,0)+$B$10)),$B$3-($F281*$B$6-SUM(G$3:G281)+$B$10*$F281)))</f>
        <v>0</v>
      </c>
      <c r="M281" s="11">
        <f>IF(F281&gt;=ROUND($B$4*12,0),0,IF(LOWER(LEFT($B$2,1))="s", ($B$3-($B$3/ROUND($B$4*12,0))*F281),$B$3-(F281*$B$6-SUM(H$3:H281))))</f>
        <v>275528.84615384601</v>
      </c>
    </row>
    <row r="282" spans="1:13" x14ac:dyDescent="0.6">
      <c r="A282" s="4"/>
      <c r="B282" s="4"/>
      <c r="C282" s="4"/>
      <c r="D282" s="4"/>
      <c r="E282" s="23"/>
      <c r="F282" s="14">
        <v>280</v>
      </c>
      <c r="G282" s="15">
        <f>IF(F282&gt;$B$14, 0, IF(LOWER(LEFT($B$2,1))="s", ($B$3-($F282-1)*($B$3/ROUND($B$4*12,0)+$B$10))*($B$5/12),IF(F282=$B$14, ($B$3-((F282-1)*($B$10+$B$6)-SUM(G$3:G281)))*($B$5/12), ABS(IPMT($B$5/12,$F282,NPER($B$5/12,-ABS($B$6)-$B$10,$B$3,0),$B$3)))))</f>
        <v>0</v>
      </c>
      <c r="H282" s="16">
        <f t="shared" si="12"/>
        <v>1260.5444711538455</v>
      </c>
      <c r="I282" s="15">
        <f t="shared" si="13"/>
        <v>1260.5444711538455</v>
      </c>
      <c r="J282" s="16">
        <f>IF(H282=0, 0, ROUND(SUM(H$3:H282)-SUM(G$3:G282),0))</f>
        <v>242714</v>
      </c>
      <c r="K282" s="16" t="str">
        <f t="shared" si="14"/>
        <v/>
      </c>
      <c r="L282" s="15">
        <f>IF($F282&gt;=$B$14, 0, IF(LOWER(LEFT($B$2,1))="s", ($B$3-($F282)*($B$3/ROUND($B$4*12,0)+$B$10)),$B$3-($F282*$B$6-SUM(G$3:G282)+$B$10*$F282)))</f>
        <v>0</v>
      </c>
      <c r="M282" s="15">
        <f>IF(F282&gt;=ROUND($B$4*12,0),0,IF(LOWER(LEFT($B$2,1))="s", ($B$3-($B$3/ROUND($B$4*12,0))*F282),$B$3-(F282*$B$6-SUM(H$3:H282))))</f>
        <v>267179.48717948701</v>
      </c>
    </row>
    <row r="283" spans="1:13" x14ac:dyDescent="0.6">
      <c r="A283" s="4"/>
      <c r="B283" s="4"/>
      <c r="C283" s="4"/>
      <c r="D283" s="4"/>
      <c r="E283" s="23"/>
      <c r="F283" s="10">
        <v>281</v>
      </c>
      <c r="G283" s="11">
        <f>IF(F283&gt;$B$14, 0, IF(LOWER(LEFT($B$2,1))="s", ($B$3-($F283-1)*($B$3/ROUND($B$4*12,0)+$B$10))*($B$5/12),IF(F283=$B$14, ($B$3-((F283-1)*($B$10+$B$6)-SUM(G$3:G282)))*($B$5/12), ABS(IPMT($B$5/12,$F283,NPER($B$5/12,-ABS($B$6)-$B$10,$B$3,0),$B$3)))))</f>
        <v>0</v>
      </c>
      <c r="H283" s="12">
        <f t="shared" si="12"/>
        <v>1222.3461538461531</v>
      </c>
      <c r="I283" s="11">
        <f t="shared" si="13"/>
        <v>1222.3461538461531</v>
      </c>
      <c r="J283" s="12">
        <f>IF(H283=0, 0, ROUND(SUM(H$3:H283)-SUM(G$3:G283),0))</f>
        <v>243936</v>
      </c>
      <c r="K283" s="12" t="str">
        <f t="shared" si="14"/>
        <v/>
      </c>
      <c r="L283" s="11">
        <f>IF($F283&gt;=$B$14, 0, IF(LOWER(LEFT($B$2,1))="s", ($B$3-($F283)*($B$3/ROUND($B$4*12,0)+$B$10)),$B$3-($F283*$B$6-SUM(G$3:G283)+$B$10*$F283)))</f>
        <v>0</v>
      </c>
      <c r="M283" s="11">
        <f>IF(F283&gt;=ROUND($B$4*12,0),0,IF(LOWER(LEFT($B$2,1))="s", ($B$3-($B$3/ROUND($B$4*12,0))*F283),$B$3-(F283*$B$6-SUM(H$3:H283))))</f>
        <v>258830.12820512801</v>
      </c>
    </row>
    <row r="284" spans="1:13" x14ac:dyDescent="0.6">
      <c r="A284" s="4"/>
      <c r="B284" s="4"/>
      <c r="C284" s="4"/>
      <c r="D284" s="4"/>
      <c r="E284" s="23"/>
      <c r="F284" s="14">
        <v>282</v>
      </c>
      <c r="G284" s="15">
        <f>IF(F284&gt;$B$14, 0, IF(LOWER(LEFT($B$2,1))="s", ($B$3-($F284-1)*($B$3/ROUND($B$4*12,0)+$B$10))*($B$5/12),IF(F284=$B$14, ($B$3-((F284-1)*($B$10+$B$6)-SUM(G$3:G283)))*($B$5/12), ABS(IPMT($B$5/12,$F284,NPER($B$5/12,-ABS($B$6)-$B$10,$B$3,0),$B$3)))))</f>
        <v>0</v>
      </c>
      <c r="H284" s="16">
        <f t="shared" si="12"/>
        <v>1184.1478365384608</v>
      </c>
      <c r="I284" s="15">
        <f t="shared" si="13"/>
        <v>1184.1478365384608</v>
      </c>
      <c r="J284" s="16">
        <f>IF(H284=0, 0, ROUND(SUM(H$3:H284)-SUM(G$3:G284),0))</f>
        <v>245120</v>
      </c>
      <c r="K284" s="16" t="str">
        <f t="shared" si="14"/>
        <v/>
      </c>
      <c r="L284" s="15">
        <f>IF($F284&gt;=$B$14, 0, IF(LOWER(LEFT($B$2,1))="s", ($B$3-($F284)*($B$3/ROUND($B$4*12,0)+$B$10)),$B$3-($F284*$B$6-SUM(G$3:G284)+$B$10*$F284)))</f>
        <v>0</v>
      </c>
      <c r="M284" s="15">
        <f>IF(F284&gt;=ROUND($B$4*12,0),0,IF(LOWER(LEFT($B$2,1))="s", ($B$3-($B$3/ROUND($B$4*12,0))*F284),$B$3-(F284*$B$6-SUM(H$3:H284))))</f>
        <v>250480.76923076902</v>
      </c>
    </row>
    <row r="285" spans="1:13" x14ac:dyDescent="0.6">
      <c r="A285" s="4"/>
      <c r="B285" s="4"/>
      <c r="C285" s="4"/>
      <c r="D285" s="4"/>
      <c r="E285" s="23"/>
      <c r="F285" s="10">
        <v>283</v>
      </c>
      <c r="G285" s="11">
        <f>IF(F285&gt;$B$14, 0, IF(LOWER(LEFT($B$2,1))="s", ($B$3-($F285-1)*($B$3/ROUND($B$4*12,0)+$B$10))*($B$5/12),IF(F285=$B$14, ($B$3-((F285-1)*($B$10+$B$6)-SUM(G$3:G284)))*($B$5/12), ABS(IPMT($B$5/12,$F285,NPER($B$5/12,-ABS($B$6)-$B$10,$B$3,0),$B$3)))))</f>
        <v>0</v>
      </c>
      <c r="H285" s="12">
        <f t="shared" si="12"/>
        <v>1145.9495192307684</v>
      </c>
      <c r="I285" s="11">
        <f t="shared" si="13"/>
        <v>1145.9495192307684</v>
      </c>
      <c r="J285" s="12">
        <f>IF(H285=0, 0, ROUND(SUM(H$3:H285)-SUM(G$3:G285),0))</f>
        <v>246266</v>
      </c>
      <c r="K285" s="12" t="str">
        <f t="shared" si="14"/>
        <v/>
      </c>
      <c r="L285" s="11">
        <f>IF($F285&gt;=$B$14, 0, IF(LOWER(LEFT($B$2,1))="s", ($B$3-($F285)*($B$3/ROUND($B$4*12,0)+$B$10)),$B$3-($F285*$B$6-SUM(G$3:G285)+$B$10*$F285)))</f>
        <v>0</v>
      </c>
      <c r="M285" s="11">
        <f>IF(F285&gt;=ROUND($B$4*12,0),0,IF(LOWER(LEFT($B$2,1))="s", ($B$3-($B$3/ROUND($B$4*12,0))*F285),$B$3-(F285*$B$6-SUM(H$3:H285))))</f>
        <v>242131.41025641002</v>
      </c>
    </row>
    <row r="286" spans="1:13" x14ac:dyDescent="0.6">
      <c r="A286" s="4"/>
      <c r="B286" s="4"/>
      <c r="C286" s="4"/>
      <c r="D286" s="4"/>
      <c r="E286" s="23"/>
      <c r="F286" s="14">
        <v>284</v>
      </c>
      <c r="G286" s="15">
        <f>IF(F286&gt;$B$14, 0, IF(LOWER(LEFT($B$2,1))="s", ($B$3-($F286-1)*($B$3/ROUND($B$4*12,0)+$B$10))*($B$5/12),IF(F286=$B$14, ($B$3-((F286-1)*($B$10+$B$6)-SUM(G$3:G285)))*($B$5/12), ABS(IPMT($B$5/12,$F286,NPER($B$5/12,-ABS($B$6)-$B$10,$B$3,0),$B$3)))))</f>
        <v>0</v>
      </c>
      <c r="H286" s="16">
        <f t="shared" si="12"/>
        <v>1107.7512019230758</v>
      </c>
      <c r="I286" s="15">
        <f t="shared" si="13"/>
        <v>1107.7512019230758</v>
      </c>
      <c r="J286" s="16">
        <f>IF(H286=0, 0, ROUND(SUM(H$3:H286)-SUM(G$3:G286),0))</f>
        <v>247374</v>
      </c>
      <c r="K286" s="16" t="str">
        <f t="shared" si="14"/>
        <v/>
      </c>
      <c r="L286" s="15">
        <f>IF($F286&gt;=$B$14, 0, IF(LOWER(LEFT($B$2,1))="s", ($B$3-($F286)*($B$3/ROUND($B$4*12,0)+$B$10)),$B$3-($F286*$B$6-SUM(G$3:G286)+$B$10*$F286)))</f>
        <v>0</v>
      </c>
      <c r="M286" s="15">
        <f>IF(F286&gt;=ROUND($B$4*12,0),0,IF(LOWER(LEFT($B$2,1))="s", ($B$3-($B$3/ROUND($B$4*12,0))*F286),$B$3-(F286*$B$6-SUM(H$3:H286))))</f>
        <v>233782.05128205102</v>
      </c>
    </row>
    <row r="287" spans="1:13" x14ac:dyDescent="0.6">
      <c r="A287" s="4"/>
      <c r="B287" s="4"/>
      <c r="C287" s="4"/>
      <c r="D287" s="4"/>
      <c r="E287" s="23"/>
      <c r="F287" s="10">
        <v>285</v>
      </c>
      <c r="G287" s="11">
        <f>IF(F287&gt;$B$14, 0, IF(LOWER(LEFT($B$2,1))="s", ($B$3-($F287-1)*($B$3/ROUND($B$4*12,0)+$B$10))*($B$5/12),IF(F287=$B$14, ($B$3-((F287-1)*($B$10+$B$6)-SUM(G$3:G286)))*($B$5/12), ABS(IPMT($B$5/12,$F287,NPER($B$5/12,-ABS($B$6)-$B$10,$B$3,0),$B$3)))))</f>
        <v>0</v>
      </c>
      <c r="H287" s="12">
        <f t="shared" si="12"/>
        <v>1069.5528846153834</v>
      </c>
      <c r="I287" s="11">
        <f t="shared" si="13"/>
        <v>1069.5528846153834</v>
      </c>
      <c r="J287" s="12">
        <f>IF(H287=0, 0, ROUND(SUM(H$3:H287)-SUM(G$3:G287),0))</f>
        <v>248443</v>
      </c>
      <c r="K287" s="12" t="str">
        <f t="shared" si="14"/>
        <v/>
      </c>
      <c r="L287" s="11">
        <f>IF($F287&gt;=$B$14, 0, IF(LOWER(LEFT($B$2,1))="s", ($B$3-($F287)*($B$3/ROUND($B$4*12,0)+$B$10)),$B$3-($F287*$B$6-SUM(G$3:G287)+$B$10*$F287)))</f>
        <v>0</v>
      </c>
      <c r="M287" s="11">
        <f>IF(F287&gt;=ROUND($B$4*12,0),0,IF(LOWER(LEFT($B$2,1))="s", ($B$3-($B$3/ROUND($B$4*12,0))*F287),$B$3-(F287*$B$6-SUM(H$3:H287))))</f>
        <v>225432.69230769202</v>
      </c>
    </row>
    <row r="288" spans="1:13" x14ac:dyDescent="0.6">
      <c r="A288" s="4"/>
      <c r="B288" s="4"/>
      <c r="C288" s="4"/>
      <c r="D288" s="4"/>
      <c r="E288" s="23"/>
      <c r="F288" s="14">
        <v>286</v>
      </c>
      <c r="G288" s="15">
        <f>IF(F288&gt;$B$14, 0, IF(LOWER(LEFT($B$2,1))="s", ($B$3-($F288-1)*($B$3/ROUND($B$4*12,0)+$B$10))*($B$5/12),IF(F288=$B$14, ($B$3-((F288-1)*($B$10+$B$6)-SUM(G$3:G287)))*($B$5/12), ABS(IPMT($B$5/12,$F288,NPER($B$5/12,-ABS($B$6)-$B$10,$B$3,0),$B$3)))))</f>
        <v>0</v>
      </c>
      <c r="H288" s="16">
        <f t="shared" si="12"/>
        <v>1031.354567307691</v>
      </c>
      <c r="I288" s="15">
        <f t="shared" si="13"/>
        <v>1031.354567307691</v>
      </c>
      <c r="J288" s="16">
        <f>IF(H288=0, 0, ROUND(SUM(H$3:H288)-SUM(G$3:G288),0))</f>
        <v>249475</v>
      </c>
      <c r="K288" s="16" t="str">
        <f t="shared" si="14"/>
        <v/>
      </c>
      <c r="L288" s="15">
        <f>IF($F288&gt;=$B$14, 0, IF(LOWER(LEFT($B$2,1))="s", ($B$3-($F288)*($B$3/ROUND($B$4*12,0)+$B$10)),$B$3-($F288*$B$6-SUM(G$3:G288)+$B$10*$F288)))</f>
        <v>0</v>
      </c>
      <c r="M288" s="15">
        <f>IF(F288&gt;=ROUND($B$4*12,0),0,IF(LOWER(LEFT($B$2,1))="s", ($B$3-($B$3/ROUND($B$4*12,0))*F288),$B$3-(F288*$B$6-SUM(H$3:H288))))</f>
        <v>217083.33333333349</v>
      </c>
    </row>
    <row r="289" spans="1:13" x14ac:dyDescent="0.6">
      <c r="A289" s="4"/>
      <c r="B289" s="4"/>
      <c r="C289" s="4"/>
      <c r="D289" s="4"/>
      <c r="E289" s="23"/>
      <c r="F289" s="10">
        <v>287</v>
      </c>
      <c r="G289" s="11">
        <f>IF(F289&gt;$B$14, 0, IF(LOWER(LEFT($B$2,1))="s", ($B$3-($F289-1)*($B$3/ROUND($B$4*12,0)+$B$10))*($B$5/12),IF(F289=$B$14, ($B$3-((F289-1)*($B$10+$B$6)-SUM(G$3:G288)))*($B$5/12), ABS(IPMT($B$5/12,$F289,NPER($B$5/12,-ABS($B$6)-$B$10,$B$3,0),$B$3)))))</f>
        <v>0</v>
      </c>
      <c r="H289" s="12">
        <f t="shared" si="12"/>
        <v>993.15625000000068</v>
      </c>
      <c r="I289" s="11">
        <f t="shared" si="13"/>
        <v>993.15625000000068</v>
      </c>
      <c r="J289" s="12">
        <f>IF(H289=0, 0, ROUND(SUM(H$3:H289)-SUM(G$3:G289),0))</f>
        <v>250468</v>
      </c>
      <c r="K289" s="12" t="str">
        <f t="shared" si="14"/>
        <v/>
      </c>
      <c r="L289" s="11">
        <f>IF($F289&gt;=$B$14, 0, IF(LOWER(LEFT($B$2,1))="s", ($B$3-($F289)*($B$3/ROUND($B$4*12,0)+$B$10)),$B$3-($F289*$B$6-SUM(G$3:G289)+$B$10*$F289)))</f>
        <v>0</v>
      </c>
      <c r="M289" s="11">
        <f>IF(F289&gt;=ROUND($B$4*12,0),0,IF(LOWER(LEFT($B$2,1))="s", ($B$3-($B$3/ROUND($B$4*12,0))*F289),$B$3-(F289*$B$6-SUM(H$3:H289))))</f>
        <v>208733.97435897449</v>
      </c>
    </row>
    <row r="290" spans="1:13" x14ac:dyDescent="0.6">
      <c r="A290" s="4"/>
      <c r="B290" s="4"/>
      <c r="C290" s="4"/>
      <c r="D290" s="4"/>
      <c r="E290" s="23" t="s">
        <v>47</v>
      </c>
      <c r="F290" s="14">
        <v>288</v>
      </c>
      <c r="G290" s="15">
        <f>IF(F290&gt;$B$14, 0, IF(LOWER(LEFT($B$2,1))="s", ($B$3-($F290-1)*($B$3/ROUND($B$4*12,0)+$B$10))*($B$5/12),IF(F290=$B$14, ($B$3-((F290-1)*($B$10+$B$6)-SUM(G$3:G289)))*($B$5/12), ABS(IPMT($B$5/12,$F290,NPER($B$5/12,-ABS($B$6)-$B$10,$B$3,0),$B$3)))))</f>
        <v>0</v>
      </c>
      <c r="H290" s="16">
        <f t="shared" si="12"/>
        <v>954.9579326923083</v>
      </c>
      <c r="I290" s="15">
        <f t="shared" si="13"/>
        <v>954.9579326923083</v>
      </c>
      <c r="J290" s="16">
        <f>IF(H290=0, 0, ROUND(SUM(H$3:H290)-SUM(G$3:G290),0))</f>
        <v>251423</v>
      </c>
      <c r="K290" s="16" t="str">
        <f t="shared" si="14"/>
        <v/>
      </c>
      <c r="L290" s="15">
        <f>IF($F290&gt;=$B$14, 0, IF(LOWER(LEFT($B$2,1))="s", ($B$3-($F290)*($B$3/ROUND($B$4*12,0)+$B$10)),$B$3-($F290*$B$6-SUM(G$3:G290)+$B$10*$F290)))</f>
        <v>0</v>
      </c>
      <c r="M290" s="15">
        <f>IF(F290&gt;=ROUND($B$4*12,0),0,IF(LOWER(LEFT($B$2,1))="s", ($B$3-($B$3/ROUND($B$4*12,0))*F290),$B$3-(F290*$B$6-SUM(H$3:H290))))</f>
        <v>200384.61538461549</v>
      </c>
    </row>
    <row r="291" spans="1:13" x14ac:dyDescent="0.6">
      <c r="A291" s="4"/>
      <c r="B291" s="4"/>
      <c r="C291" s="4"/>
      <c r="D291" s="4"/>
      <c r="E291" s="23"/>
      <c r="F291" s="10">
        <v>289</v>
      </c>
      <c r="G291" s="11">
        <f>IF(F291&gt;$B$14, 0, IF(LOWER(LEFT($B$2,1))="s", ($B$3-($F291-1)*($B$3/ROUND($B$4*12,0)+$B$10))*($B$5/12),IF(F291=$B$14, ($B$3-((F291-1)*($B$10+$B$6)-SUM(G$3:G290)))*($B$5/12), ABS(IPMT($B$5/12,$F291,NPER($B$5/12,-ABS($B$6)-$B$10,$B$3,0),$B$3)))))</f>
        <v>0</v>
      </c>
      <c r="H291" s="12">
        <f t="shared" si="12"/>
        <v>916.75961538461593</v>
      </c>
      <c r="I291" s="11">
        <f t="shared" si="13"/>
        <v>916.75961538461593</v>
      </c>
      <c r="J291" s="12">
        <f>IF(H291=0, 0, ROUND(SUM(H$3:H291)-SUM(G$3:G291),0))</f>
        <v>252340</v>
      </c>
      <c r="K291" s="12" t="str">
        <f t="shared" si="14"/>
        <v/>
      </c>
      <c r="L291" s="11">
        <f>IF($F291&gt;=$B$14, 0, IF(LOWER(LEFT($B$2,1))="s", ($B$3-($F291)*($B$3/ROUND($B$4*12,0)+$B$10)),$B$3-($F291*$B$6-SUM(G$3:G291)+$B$10*$F291)))</f>
        <v>0</v>
      </c>
      <c r="M291" s="11">
        <f>IF(F291&gt;=ROUND($B$4*12,0),0,IF(LOWER(LEFT($B$2,1))="s", ($B$3-($B$3/ROUND($B$4*12,0))*F291),$B$3-(F291*$B$6-SUM(H$3:H291))))</f>
        <v>192035.25641025649</v>
      </c>
    </row>
    <row r="292" spans="1:13" x14ac:dyDescent="0.6">
      <c r="A292" s="4"/>
      <c r="B292" s="4"/>
      <c r="C292" s="4"/>
      <c r="D292" s="4"/>
      <c r="E292" s="23"/>
      <c r="F292" s="14">
        <v>290</v>
      </c>
      <c r="G292" s="15">
        <f>IF(F292&gt;$B$14, 0, IF(LOWER(LEFT($B$2,1))="s", ($B$3-($F292-1)*($B$3/ROUND($B$4*12,0)+$B$10))*($B$5/12),IF(F292=$B$14, ($B$3-((F292-1)*($B$10+$B$6)-SUM(G$3:G291)))*($B$5/12), ABS(IPMT($B$5/12,$F292,NPER($B$5/12,-ABS($B$6)-$B$10,$B$3,0),$B$3)))))</f>
        <v>0</v>
      </c>
      <c r="H292" s="16">
        <f t="shared" si="12"/>
        <v>878.56129807692344</v>
      </c>
      <c r="I292" s="15">
        <f t="shared" si="13"/>
        <v>878.56129807692344</v>
      </c>
      <c r="J292" s="16">
        <f>IF(H292=0, 0, ROUND(SUM(H$3:H292)-SUM(G$3:G292),0))</f>
        <v>253218</v>
      </c>
      <c r="K292" s="16" t="str">
        <f t="shared" si="14"/>
        <v/>
      </c>
      <c r="L292" s="15">
        <f>IF($F292&gt;=$B$14, 0, IF(LOWER(LEFT($B$2,1))="s", ($B$3-($F292)*($B$3/ROUND($B$4*12,0)+$B$10)),$B$3-($F292*$B$6-SUM(G$3:G292)+$B$10*$F292)))</f>
        <v>0</v>
      </c>
      <c r="M292" s="15">
        <f>IF(F292&gt;=ROUND($B$4*12,0),0,IF(LOWER(LEFT($B$2,1))="s", ($B$3-($B$3/ROUND($B$4*12,0))*F292),$B$3-(F292*$B$6-SUM(H$3:H292))))</f>
        <v>183685.8974358975</v>
      </c>
    </row>
    <row r="293" spans="1:13" x14ac:dyDescent="0.6">
      <c r="A293" s="4"/>
      <c r="B293" s="4"/>
      <c r="C293" s="4"/>
      <c r="D293" s="4"/>
      <c r="E293" s="23"/>
      <c r="F293" s="10">
        <v>291</v>
      </c>
      <c r="G293" s="11">
        <f>IF(F293&gt;$B$14, 0, IF(LOWER(LEFT($B$2,1))="s", ($B$3-($F293-1)*($B$3/ROUND($B$4*12,0)+$B$10))*($B$5/12),IF(F293=$B$14, ($B$3-((F293-1)*($B$10+$B$6)-SUM(G$3:G292)))*($B$5/12), ABS(IPMT($B$5/12,$F293,NPER($B$5/12,-ABS($B$6)-$B$10,$B$3,0),$B$3)))))</f>
        <v>0</v>
      </c>
      <c r="H293" s="12">
        <f t="shared" si="12"/>
        <v>840.36298076923106</v>
      </c>
      <c r="I293" s="11">
        <f t="shared" si="13"/>
        <v>840.36298076923106</v>
      </c>
      <c r="J293" s="12">
        <f>IF(H293=0, 0, ROUND(SUM(H$3:H293)-SUM(G$3:G293),0))</f>
        <v>254059</v>
      </c>
      <c r="K293" s="12" t="str">
        <f t="shared" si="14"/>
        <v/>
      </c>
      <c r="L293" s="11">
        <f>IF($F293&gt;=$B$14, 0, IF(LOWER(LEFT($B$2,1))="s", ($B$3-($F293)*($B$3/ROUND($B$4*12,0)+$B$10)),$B$3-($F293*$B$6-SUM(G$3:G293)+$B$10*$F293)))</f>
        <v>0</v>
      </c>
      <c r="M293" s="11">
        <f>IF(F293&gt;=ROUND($B$4*12,0),0,IF(LOWER(LEFT($B$2,1))="s", ($B$3-($B$3/ROUND($B$4*12,0))*F293),$B$3-(F293*$B$6-SUM(H$3:H293))))</f>
        <v>175336.5384615385</v>
      </c>
    </row>
    <row r="294" spans="1:13" x14ac:dyDescent="0.6">
      <c r="A294" s="4"/>
      <c r="B294" s="4"/>
      <c r="C294" s="4"/>
      <c r="D294" s="4"/>
      <c r="E294" s="23"/>
      <c r="F294" s="14">
        <v>292</v>
      </c>
      <c r="G294" s="15">
        <f>IF(F294&gt;$B$14, 0, IF(LOWER(LEFT($B$2,1))="s", ($B$3-($F294-1)*($B$3/ROUND($B$4*12,0)+$B$10))*($B$5/12),IF(F294=$B$14, ($B$3-((F294-1)*($B$10+$B$6)-SUM(G$3:G293)))*($B$5/12), ABS(IPMT($B$5/12,$F294,NPER($B$5/12,-ABS($B$6)-$B$10,$B$3,0),$B$3)))))</f>
        <v>0</v>
      </c>
      <c r="H294" s="16">
        <f t="shared" si="12"/>
        <v>802.16466346153868</v>
      </c>
      <c r="I294" s="15">
        <f t="shared" si="13"/>
        <v>802.16466346153868</v>
      </c>
      <c r="J294" s="16">
        <f>IF(H294=0, 0, ROUND(SUM(H$3:H294)-SUM(G$3:G294),0))</f>
        <v>254861</v>
      </c>
      <c r="K294" s="16" t="str">
        <f t="shared" si="14"/>
        <v/>
      </c>
      <c r="L294" s="15">
        <f>IF($F294&gt;=$B$14, 0, IF(LOWER(LEFT($B$2,1))="s", ($B$3-($F294)*($B$3/ROUND($B$4*12,0)+$B$10)),$B$3-($F294*$B$6-SUM(G$3:G294)+$B$10*$F294)))</f>
        <v>0</v>
      </c>
      <c r="M294" s="15">
        <f>IF(F294&gt;=ROUND($B$4*12,0),0,IF(LOWER(LEFT($B$2,1))="s", ($B$3-($B$3/ROUND($B$4*12,0))*F294),$B$3-(F294*$B$6-SUM(H$3:H294))))</f>
        <v>166987.1794871795</v>
      </c>
    </row>
    <row r="295" spans="1:13" x14ac:dyDescent="0.6">
      <c r="A295" s="4"/>
      <c r="B295" s="4"/>
      <c r="C295" s="4"/>
      <c r="D295" s="4"/>
      <c r="E295" s="23"/>
      <c r="F295" s="10">
        <v>293</v>
      </c>
      <c r="G295" s="11">
        <f>IF(F295&gt;$B$14, 0, IF(LOWER(LEFT($B$2,1))="s", ($B$3-($F295-1)*($B$3/ROUND($B$4*12,0)+$B$10))*($B$5/12),IF(F295=$B$14, ($B$3-((F295-1)*($B$10+$B$6)-SUM(G$3:G294)))*($B$5/12), ABS(IPMT($B$5/12,$F295,NPER($B$5/12,-ABS($B$6)-$B$10,$B$3,0),$B$3)))))</f>
        <v>0</v>
      </c>
      <c r="H295" s="12">
        <f t="shared" si="12"/>
        <v>763.96634615384619</v>
      </c>
      <c r="I295" s="11">
        <f t="shared" si="13"/>
        <v>763.96634615384619</v>
      </c>
      <c r="J295" s="12">
        <f>IF(H295=0, 0, ROUND(SUM(H$3:H295)-SUM(G$3:G295),0))</f>
        <v>255625</v>
      </c>
      <c r="K295" s="12" t="str">
        <f t="shared" si="14"/>
        <v/>
      </c>
      <c r="L295" s="11">
        <f>IF($F295&gt;=$B$14, 0, IF(LOWER(LEFT($B$2,1))="s", ($B$3-($F295)*($B$3/ROUND($B$4*12,0)+$B$10)),$B$3-($F295*$B$6-SUM(G$3:G295)+$B$10*$F295)))</f>
        <v>0</v>
      </c>
      <c r="M295" s="11">
        <f>IF(F295&gt;=ROUND($B$4*12,0),0,IF(LOWER(LEFT($B$2,1))="s", ($B$3-($B$3/ROUND($B$4*12,0))*F295),$B$3-(F295*$B$6-SUM(H$3:H295))))</f>
        <v>158637.8205128205</v>
      </c>
    </row>
    <row r="296" spans="1:13" x14ac:dyDescent="0.6">
      <c r="A296" s="4"/>
      <c r="B296" s="4"/>
      <c r="C296" s="4"/>
      <c r="D296" s="4"/>
      <c r="E296" s="23"/>
      <c r="F296" s="14">
        <v>294</v>
      </c>
      <c r="G296" s="15">
        <f>IF(F296&gt;$B$14, 0, IF(LOWER(LEFT($B$2,1))="s", ($B$3-($F296-1)*($B$3/ROUND($B$4*12,0)+$B$10))*($B$5/12),IF(F296=$B$14, ($B$3-((F296-1)*($B$10+$B$6)-SUM(G$3:G295)))*($B$5/12), ABS(IPMT($B$5/12,$F296,NPER($B$5/12,-ABS($B$6)-$B$10,$B$3,0),$B$3)))))</f>
        <v>0</v>
      </c>
      <c r="H296" s="16">
        <f t="shared" si="12"/>
        <v>725.76802884615381</v>
      </c>
      <c r="I296" s="15">
        <f t="shared" si="13"/>
        <v>725.76802884615381</v>
      </c>
      <c r="J296" s="16">
        <f>IF(H296=0, 0, ROUND(SUM(H$3:H296)-SUM(G$3:G296),0))</f>
        <v>256350</v>
      </c>
      <c r="K296" s="16" t="str">
        <f t="shared" si="14"/>
        <v/>
      </c>
      <c r="L296" s="15">
        <f>IF($F296&gt;=$B$14, 0, IF(LOWER(LEFT($B$2,1))="s", ($B$3-($F296)*($B$3/ROUND($B$4*12,0)+$B$10)),$B$3-($F296*$B$6-SUM(G$3:G296)+$B$10*$F296)))</f>
        <v>0</v>
      </c>
      <c r="M296" s="15">
        <f>IF(F296&gt;=ROUND($B$4*12,0),0,IF(LOWER(LEFT($B$2,1))="s", ($B$3-($B$3/ROUND($B$4*12,0))*F296),$B$3-(F296*$B$6-SUM(H$3:H296))))</f>
        <v>150288.4615384615</v>
      </c>
    </row>
    <row r="297" spans="1:13" x14ac:dyDescent="0.6">
      <c r="A297" s="4"/>
      <c r="B297" s="4"/>
      <c r="C297" s="4"/>
      <c r="D297" s="4"/>
      <c r="E297" s="23"/>
      <c r="F297" s="10">
        <v>295</v>
      </c>
      <c r="G297" s="11">
        <f>IF(F297&gt;$B$14, 0, IF(LOWER(LEFT($B$2,1))="s", ($B$3-($F297-1)*($B$3/ROUND($B$4*12,0)+$B$10))*($B$5/12),IF(F297=$B$14, ($B$3-((F297-1)*($B$10+$B$6)-SUM(G$3:G296)))*($B$5/12), ABS(IPMT($B$5/12,$F297,NPER($B$5/12,-ABS($B$6)-$B$10,$B$3,0),$B$3)))))</f>
        <v>0</v>
      </c>
      <c r="H297" s="12">
        <f t="shared" si="12"/>
        <v>687.56971153846143</v>
      </c>
      <c r="I297" s="11">
        <f t="shared" si="13"/>
        <v>687.56971153846143</v>
      </c>
      <c r="J297" s="12">
        <f>IF(H297=0, 0, ROUND(SUM(H$3:H297)-SUM(G$3:G297),0))</f>
        <v>257038</v>
      </c>
      <c r="K297" s="12" t="str">
        <f t="shared" si="14"/>
        <v/>
      </c>
      <c r="L297" s="11">
        <f>IF($F297&gt;=$B$14, 0, IF(LOWER(LEFT($B$2,1))="s", ($B$3-($F297)*($B$3/ROUND($B$4*12,0)+$B$10)),$B$3-($F297*$B$6-SUM(G$3:G297)+$B$10*$F297)))</f>
        <v>0</v>
      </c>
      <c r="M297" s="11">
        <f>IF(F297&gt;=ROUND($B$4*12,0),0,IF(LOWER(LEFT($B$2,1))="s", ($B$3-($B$3/ROUND($B$4*12,0))*F297),$B$3-(F297*$B$6-SUM(H$3:H297))))</f>
        <v>141939.1025641025</v>
      </c>
    </row>
    <row r="298" spans="1:13" x14ac:dyDescent="0.6">
      <c r="A298" s="4"/>
      <c r="B298" s="4"/>
      <c r="C298" s="4"/>
      <c r="D298" s="4"/>
      <c r="E298" s="23"/>
      <c r="F298" s="14">
        <v>296</v>
      </c>
      <c r="G298" s="15">
        <f>IF(F298&gt;$B$14, 0, IF(LOWER(LEFT($B$2,1))="s", ($B$3-($F298-1)*($B$3/ROUND($B$4*12,0)+$B$10))*($B$5/12),IF(F298=$B$14, ($B$3-((F298-1)*($B$10+$B$6)-SUM(G$3:G297)))*($B$5/12), ABS(IPMT($B$5/12,$F298,NPER($B$5/12,-ABS($B$6)-$B$10,$B$3,0),$B$3)))))</f>
        <v>0</v>
      </c>
      <c r="H298" s="16">
        <f t="shared" si="12"/>
        <v>649.37139423076894</v>
      </c>
      <c r="I298" s="15">
        <f t="shared" si="13"/>
        <v>649.37139423076894</v>
      </c>
      <c r="J298" s="16">
        <f>IF(H298=0, 0, ROUND(SUM(H$3:H298)-SUM(G$3:G298),0))</f>
        <v>257687</v>
      </c>
      <c r="K298" s="16" t="str">
        <f t="shared" si="14"/>
        <v/>
      </c>
      <c r="L298" s="15">
        <f>IF($F298&gt;=$B$14, 0, IF(LOWER(LEFT($B$2,1))="s", ($B$3-($F298)*($B$3/ROUND($B$4*12,0)+$B$10)),$B$3-($F298*$B$6-SUM(G$3:G298)+$B$10*$F298)))</f>
        <v>0</v>
      </c>
      <c r="M298" s="15">
        <f>IF(F298&gt;=ROUND($B$4*12,0),0,IF(LOWER(LEFT($B$2,1))="s", ($B$3-($B$3/ROUND($B$4*12,0))*F298),$B$3-(F298*$B$6-SUM(H$3:H298))))</f>
        <v>133589.74358974351</v>
      </c>
    </row>
    <row r="299" spans="1:13" x14ac:dyDescent="0.6">
      <c r="A299" s="4"/>
      <c r="B299" s="4"/>
      <c r="C299" s="4"/>
      <c r="D299" s="4"/>
      <c r="E299" s="23"/>
      <c r="F299" s="10">
        <v>297</v>
      </c>
      <c r="G299" s="11">
        <f>IF(F299&gt;$B$14, 0, IF(LOWER(LEFT($B$2,1))="s", ($B$3-($F299-1)*($B$3/ROUND($B$4*12,0)+$B$10))*($B$5/12),IF(F299=$B$14, ($B$3-((F299-1)*($B$10+$B$6)-SUM(G$3:G298)))*($B$5/12), ABS(IPMT($B$5/12,$F299,NPER($B$5/12,-ABS($B$6)-$B$10,$B$3,0),$B$3)))))</f>
        <v>0</v>
      </c>
      <c r="H299" s="12">
        <f t="shared" si="12"/>
        <v>611.17307692307656</v>
      </c>
      <c r="I299" s="11">
        <f t="shared" si="13"/>
        <v>611.17307692307656</v>
      </c>
      <c r="J299" s="12">
        <f>IF(H299=0, 0, ROUND(SUM(H$3:H299)-SUM(G$3:G299),0))</f>
        <v>258299</v>
      </c>
      <c r="K299" s="12" t="str">
        <f t="shared" si="14"/>
        <v/>
      </c>
      <c r="L299" s="11">
        <f>IF($F299&gt;=$B$14, 0, IF(LOWER(LEFT($B$2,1))="s", ($B$3-($F299)*($B$3/ROUND($B$4*12,0)+$B$10)),$B$3-($F299*$B$6-SUM(G$3:G299)+$B$10*$F299)))</f>
        <v>0</v>
      </c>
      <c r="M299" s="11">
        <f>IF(F299&gt;=ROUND($B$4*12,0),0,IF(LOWER(LEFT($B$2,1))="s", ($B$3-($B$3/ROUND($B$4*12,0))*F299),$B$3-(F299*$B$6-SUM(H$3:H299))))</f>
        <v>125240.38461538451</v>
      </c>
    </row>
    <row r="300" spans="1:13" x14ac:dyDescent="0.6">
      <c r="A300" s="4"/>
      <c r="B300" s="4"/>
      <c r="C300" s="4"/>
      <c r="D300" s="4"/>
      <c r="E300" s="23"/>
      <c r="F300" s="14">
        <v>298</v>
      </c>
      <c r="G300" s="15">
        <f>IF(F300&gt;$B$14, 0, IF(LOWER(LEFT($B$2,1))="s", ($B$3-($F300-1)*($B$3/ROUND($B$4*12,0)+$B$10))*($B$5/12),IF(F300=$B$14, ($B$3-((F300-1)*($B$10+$B$6)-SUM(G$3:G299)))*($B$5/12), ABS(IPMT($B$5/12,$F300,NPER($B$5/12,-ABS($B$6)-$B$10,$B$3,0),$B$3)))))</f>
        <v>0</v>
      </c>
      <c r="H300" s="16">
        <f t="shared" si="12"/>
        <v>572.97475961538419</v>
      </c>
      <c r="I300" s="15">
        <f t="shared" si="13"/>
        <v>572.97475961538419</v>
      </c>
      <c r="J300" s="16">
        <f>IF(H300=0, 0, ROUND(SUM(H$3:H300)-SUM(G$3:G300),0))</f>
        <v>258871</v>
      </c>
      <c r="K300" s="16" t="str">
        <f t="shared" si="14"/>
        <v/>
      </c>
      <c r="L300" s="15">
        <f>IF($F300&gt;=$B$14, 0, IF(LOWER(LEFT($B$2,1))="s", ($B$3-($F300)*($B$3/ROUND($B$4*12,0)+$B$10)),$B$3-($F300*$B$6-SUM(G$3:G300)+$B$10*$F300)))</f>
        <v>0</v>
      </c>
      <c r="M300" s="15">
        <f>IF(F300&gt;=ROUND($B$4*12,0),0,IF(LOWER(LEFT($B$2,1))="s", ($B$3-($B$3/ROUND($B$4*12,0))*F300),$B$3-(F300*$B$6-SUM(H$3:H300))))</f>
        <v>116891.02564102551</v>
      </c>
    </row>
    <row r="301" spans="1:13" x14ac:dyDescent="0.6">
      <c r="A301" s="4"/>
      <c r="B301" s="4"/>
      <c r="C301" s="4"/>
      <c r="D301" s="4"/>
      <c r="E301" s="23"/>
      <c r="F301" s="10">
        <v>299</v>
      </c>
      <c r="G301" s="11">
        <f>IF(F301&gt;$B$14, 0, IF(LOWER(LEFT($B$2,1))="s", ($B$3-($F301-1)*($B$3/ROUND($B$4*12,0)+$B$10))*($B$5/12),IF(F301=$B$14, ($B$3-((F301-1)*($B$10+$B$6)-SUM(G$3:G300)))*($B$5/12), ABS(IPMT($B$5/12,$F301,NPER($B$5/12,-ABS($B$6)-$B$10,$B$3,0),$B$3)))))</f>
        <v>0</v>
      </c>
      <c r="H301" s="12">
        <f t="shared" si="12"/>
        <v>534.7764423076917</v>
      </c>
      <c r="I301" s="11">
        <f t="shared" si="13"/>
        <v>534.7764423076917</v>
      </c>
      <c r="J301" s="12">
        <f>IF(H301=0, 0, ROUND(SUM(H$3:H301)-SUM(G$3:G301),0))</f>
        <v>259406</v>
      </c>
      <c r="K301" s="12" t="str">
        <f t="shared" si="14"/>
        <v/>
      </c>
      <c r="L301" s="11">
        <f>IF($F301&gt;=$B$14, 0, IF(LOWER(LEFT($B$2,1))="s", ($B$3-($F301)*($B$3/ROUND($B$4*12,0)+$B$10)),$B$3-($F301*$B$6-SUM(G$3:G301)+$B$10*$F301)))</f>
        <v>0</v>
      </c>
      <c r="M301" s="11">
        <f>IF(F301&gt;=ROUND($B$4*12,0),0,IF(LOWER(LEFT($B$2,1))="s", ($B$3-($B$3/ROUND($B$4*12,0))*F301),$B$3-(F301*$B$6-SUM(H$3:H301))))</f>
        <v>108541.66666666651</v>
      </c>
    </row>
    <row r="302" spans="1:13" x14ac:dyDescent="0.6">
      <c r="A302" s="4"/>
      <c r="B302" s="4"/>
      <c r="C302" s="4"/>
      <c r="D302" s="4"/>
      <c r="E302" s="23" t="s">
        <v>48</v>
      </c>
      <c r="F302" s="14">
        <v>300</v>
      </c>
      <c r="G302" s="15">
        <f>IF(F302&gt;$B$14, 0, IF(LOWER(LEFT($B$2,1))="s", ($B$3-($F302-1)*($B$3/ROUND($B$4*12,0)+$B$10))*($B$5/12),IF(F302=$B$14, ($B$3-((F302-1)*($B$10+$B$6)-SUM(G$3:G301)))*($B$5/12), ABS(IPMT($B$5/12,$F302,NPER($B$5/12,-ABS($B$6)-$B$10,$B$3,0),$B$3)))))</f>
        <v>0</v>
      </c>
      <c r="H302" s="16">
        <f t="shared" si="12"/>
        <v>496.57812499999932</v>
      </c>
      <c r="I302" s="15">
        <f t="shared" si="13"/>
        <v>496.57812499999932</v>
      </c>
      <c r="J302" s="16">
        <f>IF(H302=0, 0, ROUND(SUM(H$3:H302)-SUM(G$3:G302),0))</f>
        <v>259903</v>
      </c>
      <c r="K302" s="16" t="str">
        <f t="shared" si="14"/>
        <v/>
      </c>
      <c r="L302" s="15">
        <f>IF($F302&gt;=$B$14, 0, IF(LOWER(LEFT($B$2,1))="s", ($B$3-($F302)*($B$3/ROUND($B$4*12,0)+$B$10)),$B$3-($F302*$B$6-SUM(G$3:G302)+$B$10*$F302)))</f>
        <v>0</v>
      </c>
      <c r="M302" s="15">
        <f>IF(F302&gt;=ROUND($B$4*12,0),0,IF(LOWER(LEFT($B$2,1))="s", ($B$3-($B$3/ROUND($B$4*12,0))*F302),$B$3-(F302*$B$6-SUM(H$3:H302))))</f>
        <v>100192.30769230751</v>
      </c>
    </row>
    <row r="303" spans="1:13" x14ac:dyDescent="0.6">
      <c r="A303" s="4"/>
      <c r="B303" s="4"/>
      <c r="C303" s="4"/>
      <c r="D303" s="4"/>
      <c r="E303" s="23"/>
      <c r="F303" s="10">
        <v>301</v>
      </c>
      <c r="G303" s="11">
        <f>IF(F303&gt;$B$14, 0, IF(LOWER(LEFT($B$2,1))="s", ($B$3-($F303-1)*($B$3/ROUND($B$4*12,0)+$B$10))*($B$5/12),IF(F303=$B$14, ($B$3-((F303-1)*($B$10+$B$6)-SUM(G$3:G302)))*($B$5/12), ABS(IPMT($B$5/12,$F303,NPER($B$5/12,-ABS($B$6)-$B$10,$B$3,0),$B$3)))))</f>
        <v>0</v>
      </c>
      <c r="H303" s="12">
        <f t="shared" si="12"/>
        <v>458.37980769230688</v>
      </c>
      <c r="I303" s="11">
        <f t="shared" si="13"/>
        <v>458.37980769230688</v>
      </c>
      <c r="J303" s="12">
        <f>IF(H303=0, 0, ROUND(SUM(H$3:H303)-SUM(G$3:G303),0))</f>
        <v>260361</v>
      </c>
      <c r="K303" s="12" t="str">
        <f t="shared" si="14"/>
        <v/>
      </c>
      <c r="L303" s="11">
        <f>IF($F303&gt;=$B$14, 0, IF(LOWER(LEFT($B$2,1))="s", ($B$3-($F303)*($B$3/ROUND($B$4*12,0)+$B$10)),$B$3-($F303*$B$6-SUM(G$3:G303)+$B$10*$F303)))</f>
        <v>0</v>
      </c>
      <c r="M303" s="11">
        <f>IF(F303&gt;=ROUND($B$4*12,0),0,IF(LOWER(LEFT($B$2,1))="s", ($B$3-($B$3/ROUND($B$4*12,0))*F303),$B$3-(F303*$B$6-SUM(H$3:H303))))</f>
        <v>91842.948717948515</v>
      </c>
    </row>
    <row r="304" spans="1:13" x14ac:dyDescent="0.6">
      <c r="A304" s="4"/>
      <c r="B304" s="4"/>
      <c r="C304" s="4"/>
      <c r="D304" s="4"/>
      <c r="E304" s="23"/>
      <c r="F304" s="14">
        <v>302</v>
      </c>
      <c r="G304" s="15">
        <f>IF(F304&gt;$B$14, 0, IF(LOWER(LEFT($B$2,1))="s", ($B$3-($F304-1)*($B$3/ROUND($B$4*12,0)+$B$10))*($B$5/12),IF(F304=$B$14, ($B$3-((F304-1)*($B$10+$B$6)-SUM(G$3:G303)))*($B$5/12), ABS(IPMT($B$5/12,$F304,NPER($B$5/12,-ABS($B$6)-$B$10,$B$3,0),$B$3)))))</f>
        <v>0</v>
      </c>
      <c r="H304" s="16">
        <f t="shared" si="12"/>
        <v>420.18149038461445</v>
      </c>
      <c r="I304" s="15">
        <f t="shared" si="13"/>
        <v>420.18149038461445</v>
      </c>
      <c r="J304" s="16">
        <f>IF(H304=0, 0, ROUND(SUM(H$3:H304)-SUM(G$3:G304),0))</f>
        <v>260781</v>
      </c>
      <c r="K304" s="16" t="str">
        <f t="shared" si="14"/>
        <v/>
      </c>
      <c r="L304" s="15">
        <f>IF($F304&gt;=$B$14, 0, IF(LOWER(LEFT($B$2,1))="s", ($B$3-($F304)*($B$3/ROUND($B$4*12,0)+$B$10)),$B$3-($F304*$B$6-SUM(G$3:G304)+$B$10*$F304)))</f>
        <v>0</v>
      </c>
      <c r="M304" s="15">
        <f>IF(F304&gt;=ROUND($B$4*12,0),0,IF(LOWER(LEFT($B$2,1))="s", ($B$3-($B$3/ROUND($B$4*12,0))*F304),$B$3-(F304*$B$6-SUM(H$3:H304))))</f>
        <v>83493.589743589517</v>
      </c>
    </row>
    <row r="305" spans="1:13" x14ac:dyDescent="0.6">
      <c r="A305" s="4"/>
      <c r="B305" s="4"/>
      <c r="C305" s="4"/>
      <c r="D305" s="4"/>
      <c r="E305" s="23"/>
      <c r="F305" s="10">
        <v>303</v>
      </c>
      <c r="G305" s="11">
        <f>IF(F305&gt;$B$14, 0, IF(LOWER(LEFT($B$2,1))="s", ($B$3-($F305-1)*($B$3/ROUND($B$4*12,0)+$B$10))*($B$5/12),IF(F305=$B$14, ($B$3-((F305-1)*($B$10+$B$6)-SUM(G$3:G304)))*($B$5/12), ABS(IPMT($B$5/12,$F305,NPER($B$5/12,-ABS($B$6)-$B$10,$B$3,0),$B$3)))))</f>
        <v>0</v>
      </c>
      <c r="H305" s="12">
        <f t="shared" si="12"/>
        <v>381.98317307692207</v>
      </c>
      <c r="I305" s="11">
        <f t="shared" si="13"/>
        <v>381.98317307692207</v>
      </c>
      <c r="J305" s="12">
        <f>IF(H305=0, 0, ROUND(SUM(H$3:H305)-SUM(G$3:G305),0))</f>
        <v>261163</v>
      </c>
      <c r="K305" s="12" t="str">
        <f t="shared" si="14"/>
        <v/>
      </c>
      <c r="L305" s="11">
        <f>IF($F305&gt;=$B$14, 0, IF(LOWER(LEFT($B$2,1))="s", ($B$3-($F305)*($B$3/ROUND($B$4*12,0)+$B$10)),$B$3-($F305*$B$6-SUM(G$3:G305)+$B$10*$F305)))</f>
        <v>0</v>
      </c>
      <c r="M305" s="11">
        <f>IF(F305&gt;=ROUND($B$4*12,0),0,IF(LOWER(LEFT($B$2,1))="s", ($B$3-($B$3/ROUND($B$4*12,0))*F305),$B$3-(F305*$B$6-SUM(H$3:H305))))</f>
        <v>75144.230769230518</v>
      </c>
    </row>
    <row r="306" spans="1:13" x14ac:dyDescent="0.6">
      <c r="A306" s="4"/>
      <c r="B306" s="4"/>
      <c r="C306" s="4"/>
      <c r="D306" s="4"/>
      <c r="E306" s="23"/>
      <c r="F306" s="14">
        <v>304</v>
      </c>
      <c r="G306" s="15">
        <f>IF(F306&gt;$B$14, 0, IF(LOWER(LEFT($B$2,1))="s", ($B$3-($F306-1)*($B$3/ROUND($B$4*12,0)+$B$10))*($B$5/12),IF(F306=$B$14, ($B$3-((F306-1)*($B$10+$B$6)-SUM(G$3:G305)))*($B$5/12), ABS(IPMT($B$5/12,$F306,NPER($B$5/12,-ABS($B$6)-$B$10,$B$3,0),$B$3)))))</f>
        <v>0</v>
      </c>
      <c r="H306" s="16">
        <f t="shared" si="12"/>
        <v>343.78485576922964</v>
      </c>
      <c r="I306" s="15">
        <f t="shared" si="13"/>
        <v>343.78485576922964</v>
      </c>
      <c r="J306" s="16">
        <f>IF(H306=0, 0, ROUND(SUM(H$3:H306)-SUM(G$3:G306),0))</f>
        <v>261507</v>
      </c>
      <c r="K306" s="16" t="str">
        <f t="shared" si="14"/>
        <v/>
      </c>
      <c r="L306" s="15">
        <f>IF($F306&gt;=$B$14, 0, IF(LOWER(LEFT($B$2,1))="s", ($B$3-($F306)*($B$3/ROUND($B$4*12,0)+$B$10)),$B$3-($F306*$B$6-SUM(G$3:G306)+$B$10*$F306)))</f>
        <v>0</v>
      </c>
      <c r="M306" s="15">
        <f>IF(F306&gt;=ROUND($B$4*12,0),0,IF(LOWER(LEFT($B$2,1))="s", ($B$3-($B$3/ROUND($B$4*12,0))*F306),$B$3-(F306*$B$6-SUM(H$3:H306))))</f>
        <v>66794.87179487152</v>
      </c>
    </row>
    <row r="307" spans="1:13" x14ac:dyDescent="0.6">
      <c r="A307" s="4"/>
      <c r="B307" s="4"/>
      <c r="C307" s="4"/>
      <c r="D307" s="4"/>
      <c r="E307" s="23"/>
      <c r="F307" s="10">
        <v>305</v>
      </c>
      <c r="G307" s="11">
        <f>IF(F307&gt;$B$14, 0, IF(LOWER(LEFT($B$2,1))="s", ($B$3-($F307-1)*($B$3/ROUND($B$4*12,0)+$B$10))*($B$5/12),IF(F307=$B$14, ($B$3-((F307-1)*($B$10+$B$6)-SUM(G$3:G306)))*($B$5/12), ABS(IPMT($B$5/12,$F307,NPER($B$5/12,-ABS($B$6)-$B$10,$B$3,0),$B$3)))))</f>
        <v>0</v>
      </c>
      <c r="H307" s="12">
        <f t="shared" si="12"/>
        <v>305.5865384615372</v>
      </c>
      <c r="I307" s="11">
        <f t="shared" si="13"/>
        <v>305.5865384615372</v>
      </c>
      <c r="J307" s="12">
        <f>IF(H307=0, 0, ROUND(SUM(H$3:H307)-SUM(G$3:G307),0))</f>
        <v>261813</v>
      </c>
      <c r="K307" s="12" t="str">
        <f t="shared" si="14"/>
        <v/>
      </c>
      <c r="L307" s="11">
        <f>IF($F307&gt;=$B$14, 0, IF(LOWER(LEFT($B$2,1))="s", ($B$3-($F307)*($B$3/ROUND($B$4*12,0)+$B$10)),$B$3-($F307*$B$6-SUM(G$3:G307)+$B$10*$F307)))</f>
        <v>0</v>
      </c>
      <c r="M307" s="11">
        <f>IF(F307&gt;=ROUND($B$4*12,0),0,IF(LOWER(LEFT($B$2,1))="s", ($B$3-($B$3/ROUND($B$4*12,0))*F307),$B$3-(F307*$B$6-SUM(H$3:H307))))</f>
        <v>58445.512820512522</v>
      </c>
    </row>
    <row r="308" spans="1:13" x14ac:dyDescent="0.6">
      <c r="A308" s="4"/>
      <c r="B308" s="4"/>
      <c r="C308" s="4"/>
      <c r="D308" s="4"/>
      <c r="E308" s="23"/>
      <c r="F308" s="14">
        <v>306</v>
      </c>
      <c r="G308" s="15">
        <f>IF(F308&gt;$B$14, 0, IF(LOWER(LEFT($B$2,1))="s", ($B$3-($F308-1)*($B$3/ROUND($B$4*12,0)+$B$10))*($B$5/12),IF(F308=$B$14, ($B$3-((F308-1)*($B$10+$B$6)-SUM(G$3:G307)))*($B$5/12), ABS(IPMT($B$5/12,$F308,NPER($B$5/12,-ABS($B$6)-$B$10,$B$3,0),$B$3)))))</f>
        <v>0</v>
      </c>
      <c r="H308" s="16">
        <f t="shared" si="12"/>
        <v>267.38822115384477</v>
      </c>
      <c r="I308" s="15">
        <f t="shared" si="13"/>
        <v>267.38822115384477</v>
      </c>
      <c r="J308" s="16">
        <f>IF(H308=0, 0, ROUND(SUM(H$3:H308)-SUM(G$3:G308),0))</f>
        <v>262080</v>
      </c>
      <c r="K308" s="16" t="str">
        <f t="shared" si="14"/>
        <v/>
      </c>
      <c r="L308" s="15">
        <f>IF($F308&gt;=$B$14, 0, IF(LOWER(LEFT($B$2,1))="s", ($B$3-($F308)*($B$3/ROUND($B$4*12,0)+$B$10)),$B$3-($F308*$B$6-SUM(G$3:G308)+$B$10*$F308)))</f>
        <v>0</v>
      </c>
      <c r="M308" s="15">
        <f>IF(F308&gt;=ROUND($B$4*12,0),0,IF(LOWER(LEFT($B$2,1))="s", ($B$3-($B$3/ROUND($B$4*12,0))*F308),$B$3-(F308*$B$6-SUM(H$3:H308))))</f>
        <v>50096.153846153989</v>
      </c>
    </row>
    <row r="309" spans="1:13" x14ac:dyDescent="0.6">
      <c r="A309" s="4"/>
      <c r="B309" s="4"/>
      <c r="C309" s="4"/>
      <c r="D309" s="4"/>
      <c r="E309" s="23"/>
      <c r="F309" s="10">
        <v>307</v>
      </c>
      <c r="G309" s="11">
        <f>IF(F309&gt;$B$14, 0, IF(LOWER(LEFT($B$2,1))="s", ($B$3-($F309-1)*($B$3/ROUND($B$4*12,0)+$B$10))*($B$5/12),IF(F309=$B$14, ($B$3-((F309-1)*($B$10+$B$6)-SUM(G$3:G308)))*($B$5/12), ABS(IPMT($B$5/12,$F309,NPER($B$5/12,-ABS($B$6)-$B$10,$B$3,0),$B$3)))))</f>
        <v>0</v>
      </c>
      <c r="H309" s="12">
        <f t="shared" si="12"/>
        <v>229.18990384615449</v>
      </c>
      <c r="I309" s="11">
        <f t="shared" si="13"/>
        <v>229.18990384615449</v>
      </c>
      <c r="J309" s="12">
        <f>IF(H309=0, 0, ROUND(SUM(H$3:H309)-SUM(G$3:G309),0))</f>
        <v>262309</v>
      </c>
      <c r="K309" s="12" t="str">
        <f t="shared" si="14"/>
        <v/>
      </c>
      <c r="L309" s="11">
        <f>IF($F309&gt;=$B$14, 0, IF(LOWER(LEFT($B$2,1))="s", ($B$3-($F309)*($B$3/ROUND($B$4*12,0)+$B$10)),$B$3-($F309*$B$6-SUM(G$3:G309)+$B$10*$F309)))</f>
        <v>0</v>
      </c>
      <c r="M309" s="11">
        <f>IF(F309&gt;=ROUND($B$4*12,0),0,IF(LOWER(LEFT($B$2,1))="s", ($B$3-($B$3/ROUND($B$4*12,0))*F309),$B$3-(F309*$B$6-SUM(H$3:H309))))</f>
        <v>41746.794871794991</v>
      </c>
    </row>
    <row r="310" spans="1:13" x14ac:dyDescent="0.6">
      <c r="A310" s="4"/>
      <c r="B310" s="4"/>
      <c r="C310" s="4"/>
      <c r="D310" s="4"/>
      <c r="E310" s="23"/>
      <c r="F310" s="14">
        <v>308</v>
      </c>
      <c r="G310" s="15">
        <f>IF(F310&gt;$B$14, 0, IF(LOWER(LEFT($B$2,1))="s", ($B$3-($F310-1)*($B$3/ROUND($B$4*12,0)+$B$10))*($B$5/12),IF(F310=$B$14, ($B$3-((F310-1)*($B$10+$B$6)-SUM(G$3:G309)))*($B$5/12), ABS(IPMT($B$5/12,$F310,NPER($B$5/12,-ABS($B$6)-$B$10,$B$3,0),$B$3)))))</f>
        <v>0</v>
      </c>
      <c r="H310" s="16">
        <f t="shared" si="12"/>
        <v>190.99158653846209</v>
      </c>
      <c r="I310" s="15">
        <f t="shared" si="13"/>
        <v>190.99158653846209</v>
      </c>
      <c r="J310" s="16">
        <f>IF(H310=0, 0, ROUND(SUM(H$3:H310)-SUM(G$3:G310),0))</f>
        <v>262500</v>
      </c>
      <c r="K310" s="16" t="str">
        <f t="shared" si="14"/>
        <v/>
      </c>
      <c r="L310" s="15">
        <f>IF($F310&gt;=$B$14, 0, IF(LOWER(LEFT($B$2,1))="s", ($B$3-($F310)*($B$3/ROUND($B$4*12,0)+$B$10)),$B$3-($F310*$B$6-SUM(G$3:G310)+$B$10*$F310)))</f>
        <v>0</v>
      </c>
      <c r="M310" s="15">
        <f>IF(F310&gt;=ROUND($B$4*12,0),0,IF(LOWER(LEFT($B$2,1))="s", ($B$3-($B$3/ROUND($B$4*12,0))*F310),$B$3-(F310*$B$6-SUM(H$3:H310))))</f>
        <v>33397.435897435993</v>
      </c>
    </row>
    <row r="311" spans="1:13" x14ac:dyDescent="0.6">
      <c r="A311" s="4"/>
      <c r="B311" s="4"/>
      <c r="C311" s="4"/>
      <c r="D311" s="4"/>
      <c r="E311" s="23"/>
      <c r="F311" s="10">
        <v>309</v>
      </c>
      <c r="G311" s="11">
        <f>IF(F311&gt;$B$14, 0, IF(LOWER(LEFT($B$2,1))="s", ($B$3-($F311-1)*($B$3/ROUND($B$4*12,0)+$B$10))*($B$5/12),IF(F311=$B$14, ($B$3-((F311-1)*($B$10+$B$6)-SUM(G$3:G310)))*($B$5/12), ABS(IPMT($B$5/12,$F311,NPER($B$5/12,-ABS($B$6)-$B$10,$B$3,0),$B$3)))))</f>
        <v>0</v>
      </c>
      <c r="H311" s="12">
        <f t="shared" si="12"/>
        <v>152.79326923076968</v>
      </c>
      <c r="I311" s="11">
        <f t="shared" si="13"/>
        <v>152.79326923076968</v>
      </c>
      <c r="J311" s="12">
        <f>IF(H311=0, 0, ROUND(SUM(H$3:H311)-SUM(G$3:G311),0))</f>
        <v>262653</v>
      </c>
      <c r="K311" s="12" t="str">
        <f t="shared" si="14"/>
        <v/>
      </c>
      <c r="L311" s="11">
        <f>IF($F311&gt;=$B$14, 0, IF(LOWER(LEFT($B$2,1))="s", ($B$3-($F311)*($B$3/ROUND($B$4*12,0)+$B$10)),$B$3-($F311*$B$6-SUM(G$3:G311)+$B$10*$F311)))</f>
        <v>0</v>
      </c>
      <c r="M311" s="11">
        <f>IF(F311&gt;=ROUND($B$4*12,0),0,IF(LOWER(LEFT($B$2,1))="s", ($B$3-($B$3/ROUND($B$4*12,0))*F311),$B$3-(F311*$B$6-SUM(H$3:H311))))</f>
        <v>25048.076923076995</v>
      </c>
    </row>
    <row r="312" spans="1:13" x14ac:dyDescent="0.6">
      <c r="A312" s="4"/>
      <c r="B312" s="4"/>
      <c r="C312" s="4"/>
      <c r="D312" s="4"/>
      <c r="E312" s="23"/>
      <c r="F312" s="14">
        <v>310</v>
      </c>
      <c r="G312" s="15">
        <f>IF(F312&gt;$B$14, 0, IF(LOWER(LEFT($B$2,1))="s", ($B$3-($F312-1)*($B$3/ROUND($B$4*12,0)+$B$10))*($B$5/12),IF(F312=$B$14, ($B$3-((F312-1)*($B$10+$B$6)-SUM(G$3:G311)))*($B$5/12), ABS(IPMT($B$5/12,$F312,NPER($B$5/12,-ABS($B$6)-$B$10,$B$3,0),$B$3)))))</f>
        <v>0</v>
      </c>
      <c r="H312" s="16">
        <f t="shared" si="12"/>
        <v>114.59495192307725</v>
      </c>
      <c r="I312" s="15">
        <f t="shared" si="13"/>
        <v>114.59495192307725</v>
      </c>
      <c r="J312" s="16">
        <f>IF(H312=0, 0, ROUND(SUM(H$3:H312)-SUM(G$3:G312),0))</f>
        <v>262768</v>
      </c>
      <c r="K312" s="16" t="str">
        <f t="shared" si="14"/>
        <v/>
      </c>
      <c r="L312" s="15">
        <f>IF($F312&gt;=$B$14, 0, IF(LOWER(LEFT($B$2,1))="s", ($B$3-($F312)*($B$3/ROUND($B$4*12,0)+$B$10)),$B$3-($F312*$B$6-SUM(G$3:G312)+$B$10*$F312)))</f>
        <v>0</v>
      </c>
      <c r="M312" s="15">
        <f>IF(F312&gt;=ROUND($B$4*12,0),0,IF(LOWER(LEFT($B$2,1))="s", ($B$3-($B$3/ROUND($B$4*12,0))*F312),$B$3-(F312*$B$6-SUM(H$3:H312))))</f>
        <v>16698.717948717996</v>
      </c>
    </row>
    <row r="313" spans="1:13" x14ac:dyDescent="0.6">
      <c r="A313" s="4"/>
      <c r="B313" s="4"/>
      <c r="C313" s="4"/>
      <c r="D313" s="4"/>
      <c r="E313" s="23"/>
      <c r="F313" s="10">
        <v>311</v>
      </c>
      <c r="G313" s="11">
        <f>IF(F313&gt;$B$14, 0, IF(LOWER(LEFT($B$2,1))="s", ($B$3-($F313-1)*($B$3/ROUND($B$4*12,0)+$B$10))*($B$5/12),IF(F313=$B$14, ($B$3-((F313-1)*($B$10+$B$6)-SUM(G$3:G312)))*($B$5/12), ABS(IPMT($B$5/12,$F313,NPER($B$5/12,-ABS($B$6)-$B$10,$B$3,0),$B$3)))))</f>
        <v>0</v>
      </c>
      <c r="H313" s="12">
        <f t="shared" si="12"/>
        <v>76.396634615384841</v>
      </c>
      <c r="I313" s="11">
        <f t="shared" si="13"/>
        <v>76.396634615384841</v>
      </c>
      <c r="J313" s="12">
        <f>IF(H313=0, 0, ROUND(SUM(H$3:H313)-SUM(G$3:G313),0))</f>
        <v>262844</v>
      </c>
      <c r="K313" s="12" t="str">
        <f t="shared" si="14"/>
        <v/>
      </c>
      <c r="L313" s="11">
        <f>IF($F313&gt;=$B$14, 0, IF(LOWER(LEFT($B$2,1))="s", ($B$3-($F313)*($B$3/ROUND($B$4*12,0)+$B$10)),$B$3-($F313*$B$6-SUM(G$3:G313)+$B$10*$F313)))</f>
        <v>0</v>
      </c>
      <c r="M313" s="11">
        <f>IF(F313&gt;=ROUND($B$4*12,0),0,IF(LOWER(LEFT($B$2,1))="s", ($B$3-($B$3/ROUND($B$4*12,0))*F313),$B$3-(F313*$B$6-SUM(H$3:H313))))</f>
        <v>8349.3589743589982</v>
      </c>
    </row>
    <row r="314" spans="1:13" x14ac:dyDescent="0.6">
      <c r="A314" s="4"/>
      <c r="B314" s="4"/>
      <c r="C314" s="4"/>
      <c r="D314" s="4"/>
      <c r="E314" s="23" t="s">
        <v>49</v>
      </c>
      <c r="F314" s="14">
        <v>312</v>
      </c>
      <c r="G314" s="15">
        <f>IF(F314&gt;$B$14, 0, IF(LOWER(LEFT($B$2,1))="s", ($B$3-($F314-1)*($B$3/ROUND($B$4*12,0)+$B$10))*($B$5/12),IF(F314=$B$14, ($B$3-((F314-1)*($B$10+$B$6)-SUM(G$3:G313)))*($B$5/12), ABS(IPMT($B$5/12,$F314,NPER($B$5/12,-ABS($B$6)-$B$10,$B$3,0),$B$3)))))</f>
        <v>0</v>
      </c>
      <c r="H314" s="16">
        <f t="shared" si="12"/>
        <v>38.19831730769242</v>
      </c>
      <c r="I314" s="15">
        <f t="shared" si="13"/>
        <v>38.19831730769242</v>
      </c>
      <c r="J314" s="16">
        <f>IF(H314=0, 0, ROUND(SUM(H$3:H314)-SUM(G$3:G314),0))</f>
        <v>262882</v>
      </c>
      <c r="K314" s="16" t="str">
        <f t="shared" si="14"/>
        <v/>
      </c>
      <c r="L314" s="15">
        <f>IF($F314&gt;=$B$14, 0, IF(LOWER(LEFT($B$2,1))="s", ($B$3-($F314)*($B$3/ROUND($B$4*12,0)+$B$10)),$B$3-($F314*$B$6-SUM(G$3:G314)+$B$10*$F314)))</f>
        <v>0</v>
      </c>
      <c r="M314" s="15">
        <f>IF(F314&gt;=ROUND($B$4*12,0),0,IF(LOWER(LEFT($B$2,1))="s", ($B$3-($B$3/ROUND($B$4*12,0))*F314),$B$3-(F314*$B$6-SUM(H$3:H314))))</f>
        <v>0</v>
      </c>
    </row>
    <row r="315" spans="1:13" x14ac:dyDescent="0.6">
      <c r="A315" s="4"/>
      <c r="B315" s="4"/>
      <c r="C315" s="4"/>
      <c r="D315" s="4"/>
      <c r="E315" s="23"/>
      <c r="F315" s="10">
        <v>313</v>
      </c>
      <c r="G315" s="11">
        <f>IF(F315&gt;$B$14, 0, IF(LOWER(LEFT($B$2,1))="s", ($B$3-($F315-1)*($B$3/ROUND($B$4*12,0)+$B$10))*($B$5/12),IF(F315=$B$14, ($B$3-((F315-1)*($B$10+$B$6)-SUM(G$3:G314)))*($B$5/12), ABS(IPMT($B$5/12,$F315,NPER($B$5/12,-ABS($B$6)-$B$10,$B$3,0),$B$3)))))</f>
        <v>0</v>
      </c>
      <c r="H315" s="12">
        <f t="shared" si="12"/>
        <v>0</v>
      </c>
      <c r="I315" s="11">
        <f t="shared" si="13"/>
        <v>0</v>
      </c>
      <c r="J315" s="12">
        <f>IF(H315=0, 0, ROUND(SUM(H$3:H315)-SUM(G$3:G315),0))</f>
        <v>0</v>
      </c>
      <c r="K315" s="12" t="str">
        <f t="shared" si="14"/>
        <v/>
      </c>
      <c r="L315" s="11">
        <f>IF($F315&gt;=$B$14, 0, IF(LOWER(LEFT($B$2,1))="s", ($B$3-($F315)*($B$3/ROUND($B$4*12,0)+$B$10)),$B$3-($F315*$B$6-SUM(G$3:G315)+$B$10*$F315)))</f>
        <v>0</v>
      </c>
      <c r="M315" s="11">
        <f>IF(F315&gt;=ROUND($B$4*12,0),0,IF(LOWER(LEFT($B$2,1))="s", ($B$3-($B$3/ROUND($B$4*12,0))*F315),$B$3-(F315*$B$6-SUM(H$3:H315))))</f>
        <v>0</v>
      </c>
    </row>
    <row r="316" spans="1:13" x14ac:dyDescent="0.6">
      <c r="A316" s="4"/>
      <c r="B316" s="4"/>
      <c r="C316" s="4"/>
      <c r="D316" s="4"/>
      <c r="E316" s="23"/>
      <c r="F316" s="14">
        <v>314</v>
      </c>
      <c r="G316" s="15">
        <f>IF(F316&gt;$B$14, 0, IF(LOWER(LEFT($B$2,1))="s", ($B$3-($F316-1)*($B$3/ROUND($B$4*12,0)+$B$10))*($B$5/12),IF(F316=$B$14, ($B$3-((F316-1)*($B$10+$B$6)-SUM(G$3:G315)))*($B$5/12), ABS(IPMT($B$5/12,$F316,NPER($B$5/12,-ABS($B$6)-$B$10,$B$3,0),$B$3)))))</f>
        <v>0</v>
      </c>
      <c r="H316" s="16">
        <f t="shared" si="12"/>
        <v>0</v>
      </c>
      <c r="I316" s="15">
        <f t="shared" si="13"/>
        <v>0</v>
      </c>
      <c r="J316" s="16">
        <f>IF(H316=0, 0, ROUND(SUM(H$3:H316)-SUM(G$3:G316),0))</f>
        <v>0</v>
      </c>
      <c r="K316" s="16" t="str">
        <f t="shared" si="14"/>
        <v/>
      </c>
      <c r="L316" s="15">
        <f>IF($F316&gt;=$B$14, 0, IF(LOWER(LEFT($B$2,1))="s", ($B$3-($F316)*($B$3/ROUND($B$4*12,0)+$B$10)),$B$3-($F316*$B$6-SUM(G$3:G316)+$B$10*$F316)))</f>
        <v>0</v>
      </c>
      <c r="M316" s="15">
        <f>IF(F316&gt;=ROUND($B$4*12,0),0,IF(LOWER(LEFT($B$2,1))="s", ($B$3-($B$3/ROUND($B$4*12,0))*F316),$B$3-(F316*$B$6-SUM(H$3:H316))))</f>
        <v>0</v>
      </c>
    </row>
    <row r="317" spans="1:13" x14ac:dyDescent="0.6">
      <c r="A317" s="4"/>
      <c r="B317" s="4"/>
      <c r="C317" s="4"/>
      <c r="D317" s="4"/>
      <c r="E317" s="23"/>
      <c r="F317" s="10">
        <v>315</v>
      </c>
      <c r="G317" s="11">
        <f>IF(F317&gt;$B$14, 0, IF(LOWER(LEFT($B$2,1))="s", ($B$3-($F317-1)*($B$3/ROUND($B$4*12,0)+$B$10))*($B$5/12),IF(F317=$B$14, ($B$3-((F317-1)*($B$10+$B$6)-SUM(G$3:G316)))*($B$5/12), ABS(IPMT($B$5/12,$F317,NPER($B$5/12,-ABS($B$6)-$B$10,$B$3,0),$B$3)))))</f>
        <v>0</v>
      </c>
      <c r="H317" s="12">
        <f t="shared" si="12"/>
        <v>0</v>
      </c>
      <c r="I317" s="11">
        <f t="shared" si="13"/>
        <v>0</v>
      </c>
      <c r="J317" s="12">
        <f>IF(H317=0, 0, ROUND(SUM(H$3:H317)-SUM(G$3:G317),0))</f>
        <v>0</v>
      </c>
      <c r="K317" s="12" t="str">
        <f t="shared" si="14"/>
        <v/>
      </c>
      <c r="L317" s="11">
        <f>IF($F317&gt;=$B$14, 0, IF(LOWER(LEFT($B$2,1))="s", ($B$3-($F317)*($B$3/ROUND($B$4*12,0)+$B$10)),$B$3-($F317*$B$6-SUM(G$3:G317)+$B$10*$F317)))</f>
        <v>0</v>
      </c>
      <c r="M317" s="11">
        <f>IF(F317&gt;=ROUND($B$4*12,0),0,IF(LOWER(LEFT($B$2,1))="s", ($B$3-($B$3/ROUND($B$4*12,0))*F317),$B$3-(F317*$B$6-SUM(H$3:H317))))</f>
        <v>0</v>
      </c>
    </row>
    <row r="318" spans="1:13" x14ac:dyDescent="0.6">
      <c r="A318" s="4"/>
      <c r="B318" s="4"/>
      <c r="C318" s="4"/>
      <c r="D318" s="4"/>
      <c r="E318" s="23"/>
      <c r="F318" s="14">
        <v>316</v>
      </c>
      <c r="G318" s="15">
        <f>IF(F318&gt;$B$14, 0, IF(LOWER(LEFT($B$2,1))="s", ($B$3-($F318-1)*($B$3/ROUND($B$4*12,0)+$B$10))*($B$5/12),IF(F318=$B$14, ($B$3-((F318-1)*($B$10+$B$6)-SUM(G$3:G317)))*($B$5/12), ABS(IPMT($B$5/12,$F318,NPER($B$5/12,-ABS($B$6)-$B$10,$B$3,0),$B$3)))))</f>
        <v>0</v>
      </c>
      <c r="H318" s="16">
        <f t="shared" si="12"/>
        <v>0</v>
      </c>
      <c r="I318" s="15">
        <f t="shared" si="13"/>
        <v>0</v>
      </c>
      <c r="J318" s="16">
        <f>IF(H318=0, 0, ROUND(SUM(H$3:H318)-SUM(G$3:G318),0))</f>
        <v>0</v>
      </c>
      <c r="K318" s="16" t="str">
        <f t="shared" si="14"/>
        <v/>
      </c>
      <c r="L318" s="15">
        <f>IF($F318&gt;=$B$14, 0, IF(LOWER(LEFT($B$2,1))="s", ($B$3-($F318)*($B$3/ROUND($B$4*12,0)+$B$10)),$B$3-($F318*$B$6-SUM(G$3:G318)+$B$10*$F318)))</f>
        <v>0</v>
      </c>
      <c r="M318" s="15">
        <f>IF(F318&gt;=ROUND($B$4*12,0),0,IF(LOWER(LEFT($B$2,1))="s", ($B$3-($B$3/ROUND($B$4*12,0))*F318),$B$3-(F318*$B$6-SUM(H$3:H318))))</f>
        <v>0</v>
      </c>
    </row>
    <row r="319" spans="1:13" x14ac:dyDescent="0.6">
      <c r="A319" s="4"/>
      <c r="B319" s="4"/>
      <c r="C319" s="4"/>
      <c r="D319" s="4"/>
      <c r="E319" s="23"/>
      <c r="F319" s="10">
        <v>317</v>
      </c>
      <c r="G319" s="11">
        <f>IF(F319&gt;$B$14, 0, IF(LOWER(LEFT($B$2,1))="s", ($B$3-($F319-1)*($B$3/ROUND($B$4*12,0)+$B$10))*($B$5/12),IF(F319=$B$14, ($B$3-((F319-1)*($B$10+$B$6)-SUM(G$3:G318)))*($B$5/12), ABS(IPMT($B$5/12,$F319,NPER($B$5/12,-ABS($B$6)-$B$10,$B$3,0),$B$3)))))</f>
        <v>0</v>
      </c>
      <c r="H319" s="12">
        <f t="shared" si="12"/>
        <v>0</v>
      </c>
      <c r="I319" s="11">
        <f t="shared" si="13"/>
        <v>0</v>
      </c>
      <c r="J319" s="12">
        <f>IF(H319=0, 0, ROUND(SUM(H$3:H319)-SUM(G$3:G319),0))</f>
        <v>0</v>
      </c>
      <c r="K319" s="12" t="str">
        <f t="shared" si="14"/>
        <v/>
      </c>
      <c r="L319" s="11">
        <f>IF($F319&gt;=$B$14, 0, IF(LOWER(LEFT($B$2,1))="s", ($B$3-($F319)*($B$3/ROUND($B$4*12,0)+$B$10)),$B$3-($F319*$B$6-SUM(G$3:G319)+$B$10*$F319)))</f>
        <v>0</v>
      </c>
      <c r="M319" s="11">
        <f>IF(F319&gt;=ROUND($B$4*12,0),0,IF(LOWER(LEFT($B$2,1))="s", ($B$3-($B$3/ROUND($B$4*12,0))*F319),$B$3-(F319*$B$6-SUM(H$3:H319))))</f>
        <v>0</v>
      </c>
    </row>
    <row r="320" spans="1:13" x14ac:dyDescent="0.6">
      <c r="A320" s="4"/>
      <c r="B320" s="4"/>
      <c r="C320" s="4"/>
      <c r="D320" s="4"/>
      <c r="E320" s="23"/>
      <c r="F320" s="14">
        <v>318</v>
      </c>
      <c r="G320" s="15">
        <f>IF(F320&gt;$B$14, 0, IF(LOWER(LEFT($B$2,1))="s", ($B$3-($F320-1)*($B$3/ROUND($B$4*12,0)+$B$10))*($B$5/12),IF(F320=$B$14, ($B$3-((F320-1)*($B$10+$B$6)-SUM(G$3:G319)))*($B$5/12), ABS(IPMT($B$5/12,$F320,NPER($B$5/12,-ABS($B$6)-$B$10,$B$3,0),$B$3)))))</f>
        <v>0</v>
      </c>
      <c r="H320" s="16">
        <f t="shared" si="12"/>
        <v>0</v>
      </c>
      <c r="I320" s="15">
        <f t="shared" si="13"/>
        <v>0</v>
      </c>
      <c r="J320" s="16">
        <f>IF(H320=0, 0, ROUND(SUM(H$3:H320)-SUM(G$3:G320),0))</f>
        <v>0</v>
      </c>
      <c r="K320" s="16" t="str">
        <f t="shared" si="14"/>
        <v/>
      </c>
      <c r="L320" s="15">
        <f>IF($F320&gt;=$B$14, 0, IF(LOWER(LEFT($B$2,1))="s", ($B$3-($F320)*($B$3/ROUND($B$4*12,0)+$B$10)),$B$3-($F320*$B$6-SUM(G$3:G320)+$B$10*$F320)))</f>
        <v>0</v>
      </c>
      <c r="M320" s="15">
        <f>IF(F320&gt;=ROUND($B$4*12,0),0,IF(LOWER(LEFT($B$2,1))="s", ($B$3-($B$3/ROUND($B$4*12,0))*F320),$B$3-(F320*$B$6-SUM(H$3:H320))))</f>
        <v>0</v>
      </c>
    </row>
    <row r="321" spans="1:13" x14ac:dyDescent="0.6">
      <c r="A321" s="4"/>
      <c r="B321" s="4"/>
      <c r="C321" s="4"/>
      <c r="D321" s="4"/>
      <c r="E321" s="23"/>
      <c r="F321" s="10">
        <v>319</v>
      </c>
      <c r="G321" s="11">
        <f>IF(F321&gt;$B$14, 0, IF(LOWER(LEFT($B$2,1))="s", ($B$3-($F321-1)*($B$3/ROUND($B$4*12,0)+$B$10))*($B$5/12),IF(F321=$B$14, ($B$3-((F321-1)*($B$10+$B$6)-SUM(G$3:G320)))*($B$5/12), ABS(IPMT($B$5/12,$F321,NPER($B$5/12,-ABS($B$6)-$B$10,$B$3,0),$B$3)))))</f>
        <v>0</v>
      </c>
      <c r="H321" s="12">
        <f t="shared" si="12"/>
        <v>0</v>
      </c>
      <c r="I321" s="11">
        <f t="shared" si="13"/>
        <v>0</v>
      </c>
      <c r="J321" s="12">
        <f>IF(H321=0, 0, ROUND(SUM(H$3:H321)-SUM(G$3:G321),0))</f>
        <v>0</v>
      </c>
      <c r="K321" s="12" t="str">
        <f t="shared" si="14"/>
        <v/>
      </c>
      <c r="L321" s="11">
        <f>IF($F321&gt;=$B$14, 0, IF(LOWER(LEFT($B$2,1))="s", ($B$3-($F321)*($B$3/ROUND($B$4*12,0)+$B$10)),$B$3-($F321*$B$6-SUM(G$3:G321)+$B$10*$F321)))</f>
        <v>0</v>
      </c>
      <c r="M321" s="11">
        <f>IF(F321&gt;=ROUND($B$4*12,0),0,IF(LOWER(LEFT($B$2,1))="s", ($B$3-($B$3/ROUND($B$4*12,0))*F321),$B$3-(F321*$B$6-SUM(H$3:H321))))</f>
        <v>0</v>
      </c>
    </row>
    <row r="322" spans="1:13" x14ac:dyDescent="0.6">
      <c r="A322" s="4"/>
      <c r="B322" s="4"/>
      <c r="C322" s="4"/>
      <c r="D322" s="4"/>
      <c r="E322" s="23"/>
      <c r="F322" s="14">
        <v>320</v>
      </c>
      <c r="G322" s="15">
        <f>IF(F322&gt;$B$14, 0, IF(LOWER(LEFT($B$2,1))="s", ($B$3-($F322-1)*($B$3/ROUND($B$4*12,0)+$B$10))*($B$5/12),IF(F322=$B$14, ($B$3-((F322-1)*($B$10+$B$6)-SUM(G$3:G321)))*($B$5/12), ABS(IPMT($B$5/12,$F322,NPER($B$5/12,-ABS($B$6)-$B$10,$B$3,0),$B$3)))))</f>
        <v>0</v>
      </c>
      <c r="H322" s="16">
        <f t="shared" si="12"/>
        <v>0</v>
      </c>
      <c r="I322" s="15">
        <f t="shared" si="13"/>
        <v>0</v>
      </c>
      <c r="J322" s="16">
        <f>IF(H322=0, 0, ROUND(SUM(H$3:H322)-SUM(G$3:G322),0))</f>
        <v>0</v>
      </c>
      <c r="K322" s="16" t="str">
        <f t="shared" si="14"/>
        <v/>
      </c>
      <c r="L322" s="15">
        <f>IF($F322&gt;=$B$14, 0, IF(LOWER(LEFT($B$2,1))="s", ($B$3-($F322)*($B$3/ROUND($B$4*12,0)+$B$10)),$B$3-($F322*$B$6-SUM(G$3:G322)+$B$10*$F322)))</f>
        <v>0</v>
      </c>
      <c r="M322" s="15">
        <f>IF(F322&gt;=ROUND($B$4*12,0),0,IF(LOWER(LEFT($B$2,1))="s", ($B$3-($B$3/ROUND($B$4*12,0))*F322),$B$3-(F322*$B$6-SUM(H$3:H322))))</f>
        <v>0</v>
      </c>
    </row>
    <row r="323" spans="1:13" x14ac:dyDescent="0.6">
      <c r="A323" s="4"/>
      <c r="B323" s="4"/>
      <c r="C323" s="4"/>
      <c r="D323" s="4"/>
      <c r="E323" s="23"/>
      <c r="F323" s="10">
        <v>321</v>
      </c>
      <c r="G323" s="11">
        <f>IF(F323&gt;$B$14, 0, IF(LOWER(LEFT($B$2,1))="s", ($B$3-($F323-1)*($B$3/ROUND($B$4*12,0)+$B$10))*($B$5/12),IF(F323=$B$14, ($B$3-((F323-1)*($B$10+$B$6)-SUM(G$3:G322)))*($B$5/12), ABS(IPMT($B$5/12,$F323,NPER($B$5/12,-ABS($B$6)-$B$10,$B$3,0),$B$3)))))</f>
        <v>0</v>
      </c>
      <c r="H323" s="12">
        <f t="shared" ref="H323:H362" si="15">IF(OR($B$3&lt;=0,F323&gt;ROUND($B$4*12,0)),0,IF(LOWER(LEFT($B$2,1))="s", ($B$3-(F323-1)*($B$3/ROUND($B$4*12,0)))*($B$5/12),ABS(IPMT($B$5/12,F323,ROUND(NPER($B$5/12,-ABS($B$6),$B$3,0),0),$B$3))))</f>
        <v>0</v>
      </c>
      <c r="I323" s="11">
        <f t="shared" ref="I323:I362" si="16">H323-G323</f>
        <v>0</v>
      </c>
      <c r="J323" s="12">
        <f>IF(H323=0, 0, ROUND(SUM(H$3:H323)-SUM(G$3:G323),0))</f>
        <v>0</v>
      </c>
      <c r="K323" s="12" t="str">
        <f t="shared" si="14"/>
        <v/>
      </c>
      <c r="L323" s="11">
        <f>IF($F323&gt;=$B$14, 0, IF(LOWER(LEFT($B$2,1))="s", ($B$3-($F323)*($B$3/ROUND($B$4*12,0)+$B$10)),$B$3-($F323*$B$6-SUM(G$3:G323)+$B$10*$F323)))</f>
        <v>0</v>
      </c>
      <c r="M323" s="11">
        <f>IF(F323&gt;=ROUND($B$4*12,0),0,IF(LOWER(LEFT($B$2,1))="s", ($B$3-($B$3/ROUND($B$4*12,0))*F323),$B$3-(F323*$B$6-SUM(H$3:H323))))</f>
        <v>0</v>
      </c>
    </row>
    <row r="324" spans="1:13" x14ac:dyDescent="0.6">
      <c r="A324" s="4"/>
      <c r="B324" s="4"/>
      <c r="C324" s="4"/>
      <c r="D324" s="4"/>
      <c r="E324" s="23"/>
      <c r="F324" s="14">
        <v>322</v>
      </c>
      <c r="G324" s="15">
        <f>IF(F324&gt;$B$14, 0, IF(LOWER(LEFT($B$2,1))="s", ($B$3-($F324-1)*($B$3/ROUND($B$4*12,0)+$B$10))*($B$5/12),IF(F324=$B$14, ($B$3-((F324-1)*($B$10+$B$6)-SUM(G$3:G323)))*($B$5/12), ABS(IPMT($B$5/12,$F324,NPER($B$5/12,-ABS($B$6)-$B$10,$B$3,0),$B$3)))))</f>
        <v>0</v>
      </c>
      <c r="H324" s="16">
        <f t="shared" si="15"/>
        <v>0</v>
      </c>
      <c r="I324" s="15">
        <f t="shared" si="16"/>
        <v>0</v>
      </c>
      <c r="J324" s="16">
        <f>IF(H324=0, 0, ROUND(SUM(H$3:H324)-SUM(G$3:G324),0))</f>
        <v>0</v>
      </c>
      <c r="K324" s="16" t="str">
        <f t="shared" ref="K324:K362" si="17">IF(F324&gt;$B$14,"",IF(ROUNDDOWN(M323-L323,-(LEN(TEXT(INT(ABS(M323-L323)),0))-2)) = ROUNDDOWN(M324-L324,-(LEN(TEXT(INT(ABS(M324-L324)),0))-2)), "", ROUNDDOWN(M324-L324,-(LEN(TEXT(INT(ABS(M324-L324)),0))-2))))</f>
        <v/>
      </c>
      <c r="L324" s="15">
        <f>IF($F324&gt;=$B$14, 0, IF(LOWER(LEFT($B$2,1))="s", ($B$3-($F324)*($B$3/ROUND($B$4*12,0)+$B$10)),$B$3-($F324*$B$6-SUM(G$3:G324)+$B$10*$F324)))</f>
        <v>0</v>
      </c>
      <c r="M324" s="15">
        <f>IF(F324&gt;=ROUND($B$4*12,0),0,IF(LOWER(LEFT($B$2,1))="s", ($B$3-($B$3/ROUND($B$4*12,0))*F324),$B$3-(F324*$B$6-SUM(H$3:H324))))</f>
        <v>0</v>
      </c>
    </row>
    <row r="325" spans="1:13" x14ac:dyDescent="0.6">
      <c r="A325" s="4"/>
      <c r="B325" s="4"/>
      <c r="C325" s="4"/>
      <c r="D325" s="4"/>
      <c r="E325" s="23"/>
      <c r="F325" s="10">
        <v>323</v>
      </c>
      <c r="G325" s="11">
        <f>IF(F325&gt;$B$14, 0, IF(LOWER(LEFT($B$2,1))="s", ($B$3-($F325-1)*($B$3/ROUND($B$4*12,0)+$B$10))*($B$5/12),IF(F325=$B$14, ($B$3-((F325-1)*($B$10+$B$6)-SUM(G$3:G324)))*($B$5/12), ABS(IPMT($B$5/12,$F325,NPER($B$5/12,-ABS($B$6)-$B$10,$B$3,0),$B$3)))))</f>
        <v>0</v>
      </c>
      <c r="H325" s="12">
        <f t="shared" si="15"/>
        <v>0</v>
      </c>
      <c r="I325" s="11">
        <f t="shared" si="16"/>
        <v>0</v>
      </c>
      <c r="J325" s="12">
        <f>IF(H325=0, 0, ROUND(SUM(H$3:H325)-SUM(G$3:G325),0))</f>
        <v>0</v>
      </c>
      <c r="K325" s="12" t="str">
        <f t="shared" si="17"/>
        <v/>
      </c>
      <c r="L325" s="11">
        <f>IF($F325&gt;=$B$14, 0, IF(LOWER(LEFT($B$2,1))="s", ($B$3-($F325)*($B$3/ROUND($B$4*12,0)+$B$10)),$B$3-($F325*$B$6-SUM(G$3:G325)+$B$10*$F325)))</f>
        <v>0</v>
      </c>
      <c r="M325" s="11">
        <f>IF(F325&gt;=ROUND($B$4*12,0),0,IF(LOWER(LEFT($B$2,1))="s", ($B$3-($B$3/ROUND($B$4*12,0))*F325),$B$3-(F325*$B$6-SUM(H$3:H325))))</f>
        <v>0</v>
      </c>
    </row>
    <row r="326" spans="1:13" x14ac:dyDescent="0.6">
      <c r="A326" s="4"/>
      <c r="B326" s="4"/>
      <c r="C326" s="4"/>
      <c r="D326" s="4"/>
      <c r="E326" s="23" t="s">
        <v>50</v>
      </c>
      <c r="F326" s="14">
        <v>324</v>
      </c>
      <c r="G326" s="15">
        <f>IF(F326&gt;$B$14, 0, IF(LOWER(LEFT($B$2,1))="s", ($B$3-($F326-1)*($B$3/ROUND($B$4*12,0)+$B$10))*($B$5/12),IF(F326=$B$14, ($B$3-((F326-1)*($B$10+$B$6)-SUM(G$3:G325)))*($B$5/12), ABS(IPMT($B$5/12,$F326,NPER($B$5/12,-ABS($B$6)-$B$10,$B$3,0),$B$3)))))</f>
        <v>0</v>
      </c>
      <c r="H326" s="16">
        <f t="shared" si="15"/>
        <v>0</v>
      </c>
      <c r="I326" s="15">
        <f t="shared" si="16"/>
        <v>0</v>
      </c>
      <c r="J326" s="16">
        <f>IF(H326=0, 0, ROUND(SUM(H$3:H326)-SUM(G$3:G326),0))</f>
        <v>0</v>
      </c>
      <c r="K326" s="16" t="str">
        <f t="shared" si="17"/>
        <v/>
      </c>
      <c r="L326" s="15">
        <f>IF($F326&gt;=$B$14, 0, IF(LOWER(LEFT($B$2,1))="s", ($B$3-($F326)*($B$3/ROUND($B$4*12,0)+$B$10)),$B$3-($F326*$B$6-SUM(G$3:G326)+$B$10*$F326)))</f>
        <v>0</v>
      </c>
      <c r="M326" s="15">
        <f>IF(F326&gt;=ROUND($B$4*12,0),0,IF(LOWER(LEFT($B$2,1))="s", ($B$3-($B$3/ROUND($B$4*12,0))*F326),$B$3-(F326*$B$6-SUM(H$3:H326))))</f>
        <v>0</v>
      </c>
    </row>
    <row r="327" spans="1:13" x14ac:dyDescent="0.6">
      <c r="A327" s="4"/>
      <c r="B327" s="4"/>
      <c r="C327" s="4"/>
      <c r="D327" s="4"/>
      <c r="E327" s="23"/>
      <c r="F327" s="10">
        <v>325</v>
      </c>
      <c r="G327" s="11">
        <f>IF(F327&gt;$B$14, 0, IF(LOWER(LEFT($B$2,1))="s", ($B$3-($F327-1)*($B$3/ROUND($B$4*12,0)+$B$10))*($B$5/12),IF(F327=$B$14, ($B$3-((F327-1)*($B$10+$B$6)-SUM(G$3:G326)))*($B$5/12), ABS(IPMT($B$5/12,$F327,NPER($B$5/12,-ABS($B$6)-$B$10,$B$3,0),$B$3)))))</f>
        <v>0</v>
      </c>
      <c r="H327" s="12">
        <f t="shared" si="15"/>
        <v>0</v>
      </c>
      <c r="I327" s="11">
        <f t="shared" si="16"/>
        <v>0</v>
      </c>
      <c r="J327" s="12">
        <f>IF(H327=0, 0, ROUND(SUM(H$3:H327)-SUM(G$3:G327),0))</f>
        <v>0</v>
      </c>
      <c r="K327" s="12" t="str">
        <f t="shared" si="17"/>
        <v/>
      </c>
      <c r="L327" s="11">
        <f>IF($F327&gt;=$B$14, 0, IF(LOWER(LEFT($B$2,1))="s", ($B$3-($F327)*($B$3/ROUND($B$4*12,0)+$B$10)),$B$3-($F327*$B$6-SUM(G$3:G327)+$B$10*$F327)))</f>
        <v>0</v>
      </c>
      <c r="M327" s="11">
        <f>IF(F327&gt;=ROUND($B$4*12,0),0,IF(LOWER(LEFT($B$2,1))="s", ($B$3-($B$3/ROUND($B$4*12,0))*F327),$B$3-(F327*$B$6-SUM(H$3:H327))))</f>
        <v>0</v>
      </c>
    </row>
    <row r="328" spans="1:13" x14ac:dyDescent="0.6">
      <c r="A328" s="4"/>
      <c r="B328" s="4"/>
      <c r="C328" s="4"/>
      <c r="D328" s="4"/>
      <c r="E328" s="23"/>
      <c r="F328" s="14">
        <v>326</v>
      </c>
      <c r="G328" s="15">
        <f>IF(F328&gt;$B$14, 0, IF(LOWER(LEFT($B$2,1))="s", ($B$3-($F328-1)*($B$3/ROUND($B$4*12,0)+$B$10))*($B$5/12),IF(F328=$B$14, ($B$3-((F328-1)*($B$10+$B$6)-SUM(G$3:G327)))*($B$5/12), ABS(IPMT($B$5/12,$F328,NPER($B$5/12,-ABS($B$6)-$B$10,$B$3,0),$B$3)))))</f>
        <v>0</v>
      </c>
      <c r="H328" s="16">
        <f t="shared" si="15"/>
        <v>0</v>
      </c>
      <c r="I328" s="15">
        <f t="shared" si="16"/>
        <v>0</v>
      </c>
      <c r="J328" s="16">
        <f>IF(H328=0, 0, ROUND(SUM(H$3:H328)-SUM(G$3:G328),0))</f>
        <v>0</v>
      </c>
      <c r="K328" s="16" t="str">
        <f t="shared" si="17"/>
        <v/>
      </c>
      <c r="L328" s="15">
        <f>IF($F328&gt;=$B$14, 0, IF(LOWER(LEFT($B$2,1))="s", ($B$3-($F328)*($B$3/ROUND($B$4*12,0)+$B$10)),$B$3-($F328*$B$6-SUM(G$3:G328)+$B$10*$F328)))</f>
        <v>0</v>
      </c>
      <c r="M328" s="15">
        <f>IF(F328&gt;=ROUND($B$4*12,0),0,IF(LOWER(LEFT($B$2,1))="s", ($B$3-($B$3/ROUND($B$4*12,0))*F328),$B$3-(F328*$B$6-SUM(H$3:H328))))</f>
        <v>0</v>
      </c>
    </row>
    <row r="329" spans="1:13" x14ac:dyDescent="0.6">
      <c r="A329" s="4"/>
      <c r="B329" s="4"/>
      <c r="C329" s="4"/>
      <c r="D329" s="4"/>
      <c r="E329" s="23"/>
      <c r="F329" s="10">
        <v>327</v>
      </c>
      <c r="G329" s="11">
        <f>IF(F329&gt;$B$14, 0, IF(LOWER(LEFT($B$2,1))="s", ($B$3-($F329-1)*($B$3/ROUND($B$4*12,0)+$B$10))*($B$5/12),IF(F329=$B$14, ($B$3-((F329-1)*($B$10+$B$6)-SUM(G$3:G328)))*($B$5/12), ABS(IPMT($B$5/12,$F329,NPER($B$5/12,-ABS($B$6)-$B$10,$B$3,0),$B$3)))))</f>
        <v>0</v>
      </c>
      <c r="H329" s="12">
        <f t="shared" si="15"/>
        <v>0</v>
      </c>
      <c r="I329" s="11">
        <f t="shared" si="16"/>
        <v>0</v>
      </c>
      <c r="J329" s="12">
        <f>IF(H329=0, 0, ROUND(SUM(H$3:H329)-SUM(G$3:G329),0))</f>
        <v>0</v>
      </c>
      <c r="K329" s="12" t="str">
        <f t="shared" si="17"/>
        <v/>
      </c>
      <c r="L329" s="11">
        <f>IF($F329&gt;=$B$14, 0, IF(LOWER(LEFT($B$2,1))="s", ($B$3-($F329)*($B$3/ROUND($B$4*12,0)+$B$10)),$B$3-($F329*$B$6-SUM(G$3:G329)+$B$10*$F329)))</f>
        <v>0</v>
      </c>
      <c r="M329" s="11">
        <f>IF(F329&gt;=ROUND($B$4*12,0),0,IF(LOWER(LEFT($B$2,1))="s", ($B$3-($B$3/ROUND($B$4*12,0))*F329),$B$3-(F329*$B$6-SUM(H$3:H329))))</f>
        <v>0</v>
      </c>
    </row>
    <row r="330" spans="1:13" x14ac:dyDescent="0.6">
      <c r="A330" s="4"/>
      <c r="B330" s="4"/>
      <c r="C330" s="4"/>
      <c r="D330" s="4"/>
      <c r="E330" s="23"/>
      <c r="F330" s="14">
        <v>328</v>
      </c>
      <c r="G330" s="15">
        <f>IF(F330&gt;$B$14, 0, IF(LOWER(LEFT($B$2,1))="s", ($B$3-($F330-1)*($B$3/ROUND($B$4*12,0)+$B$10))*($B$5/12),IF(F330=$B$14, ($B$3-((F330-1)*($B$10+$B$6)-SUM(G$3:G329)))*($B$5/12), ABS(IPMT($B$5/12,$F330,NPER($B$5/12,-ABS($B$6)-$B$10,$B$3,0),$B$3)))))</f>
        <v>0</v>
      </c>
      <c r="H330" s="16">
        <f t="shared" si="15"/>
        <v>0</v>
      </c>
      <c r="I330" s="15">
        <f t="shared" si="16"/>
        <v>0</v>
      </c>
      <c r="J330" s="16">
        <f>IF(H330=0, 0, ROUND(SUM(H$3:H330)-SUM(G$3:G330),0))</f>
        <v>0</v>
      </c>
      <c r="K330" s="16" t="str">
        <f t="shared" si="17"/>
        <v/>
      </c>
      <c r="L330" s="15">
        <f>IF($F330&gt;=$B$14, 0, IF(LOWER(LEFT($B$2,1))="s", ($B$3-($F330)*($B$3/ROUND($B$4*12,0)+$B$10)),$B$3-($F330*$B$6-SUM(G$3:G330)+$B$10*$F330)))</f>
        <v>0</v>
      </c>
      <c r="M330" s="15">
        <f>IF(F330&gt;=ROUND($B$4*12,0),0,IF(LOWER(LEFT($B$2,1))="s", ($B$3-($B$3/ROUND($B$4*12,0))*F330),$B$3-(F330*$B$6-SUM(H$3:H330))))</f>
        <v>0</v>
      </c>
    </row>
    <row r="331" spans="1:13" x14ac:dyDescent="0.6">
      <c r="A331" s="4"/>
      <c r="B331" s="4"/>
      <c r="C331" s="4"/>
      <c r="D331" s="4"/>
      <c r="E331" s="23"/>
      <c r="F331" s="10">
        <v>329</v>
      </c>
      <c r="G331" s="11">
        <f>IF(F331&gt;$B$14, 0, IF(LOWER(LEFT($B$2,1))="s", ($B$3-($F331-1)*($B$3/ROUND($B$4*12,0)+$B$10))*($B$5/12),IF(F331=$B$14, ($B$3-((F331-1)*($B$10+$B$6)-SUM(G$3:G330)))*($B$5/12), ABS(IPMT($B$5/12,$F331,NPER($B$5/12,-ABS($B$6)-$B$10,$B$3,0),$B$3)))))</f>
        <v>0</v>
      </c>
      <c r="H331" s="12">
        <f t="shared" si="15"/>
        <v>0</v>
      </c>
      <c r="I331" s="11">
        <f t="shared" si="16"/>
        <v>0</v>
      </c>
      <c r="J331" s="12">
        <f>IF(H331=0, 0, ROUND(SUM(H$3:H331)-SUM(G$3:G331),0))</f>
        <v>0</v>
      </c>
      <c r="K331" s="12" t="str">
        <f t="shared" si="17"/>
        <v/>
      </c>
      <c r="L331" s="11">
        <f>IF($F331&gt;=$B$14, 0, IF(LOWER(LEFT($B$2,1))="s", ($B$3-($F331)*($B$3/ROUND($B$4*12,0)+$B$10)),$B$3-($F331*$B$6-SUM(G$3:G331)+$B$10*$F331)))</f>
        <v>0</v>
      </c>
      <c r="M331" s="11">
        <f>IF(F331&gt;=ROUND($B$4*12,0),0,IF(LOWER(LEFT($B$2,1))="s", ($B$3-($B$3/ROUND($B$4*12,0))*F331),$B$3-(F331*$B$6-SUM(H$3:H331))))</f>
        <v>0</v>
      </c>
    </row>
    <row r="332" spans="1:13" x14ac:dyDescent="0.6">
      <c r="A332" s="4"/>
      <c r="B332" s="4"/>
      <c r="C332" s="4"/>
      <c r="D332" s="4"/>
      <c r="E332" s="23"/>
      <c r="F332" s="14">
        <v>330</v>
      </c>
      <c r="G332" s="15">
        <f>IF(F332&gt;$B$14, 0, IF(LOWER(LEFT($B$2,1))="s", ($B$3-($F332-1)*($B$3/ROUND($B$4*12,0)+$B$10))*($B$5/12),IF(F332=$B$14, ($B$3-((F332-1)*($B$10+$B$6)-SUM(G$3:G331)))*($B$5/12), ABS(IPMT($B$5/12,$F332,NPER($B$5/12,-ABS($B$6)-$B$10,$B$3,0),$B$3)))))</f>
        <v>0</v>
      </c>
      <c r="H332" s="16">
        <f t="shared" si="15"/>
        <v>0</v>
      </c>
      <c r="I332" s="15">
        <f t="shared" si="16"/>
        <v>0</v>
      </c>
      <c r="J332" s="16">
        <f>IF(H332=0, 0, ROUND(SUM(H$3:H332)-SUM(G$3:G332),0))</f>
        <v>0</v>
      </c>
      <c r="K332" s="16" t="str">
        <f t="shared" si="17"/>
        <v/>
      </c>
      <c r="L332" s="15">
        <f>IF($F332&gt;=$B$14, 0, IF(LOWER(LEFT($B$2,1))="s", ($B$3-($F332)*($B$3/ROUND($B$4*12,0)+$B$10)),$B$3-($F332*$B$6-SUM(G$3:G332)+$B$10*$F332)))</f>
        <v>0</v>
      </c>
      <c r="M332" s="15">
        <f>IF(F332&gt;=ROUND($B$4*12,0),0,IF(LOWER(LEFT($B$2,1))="s", ($B$3-($B$3/ROUND($B$4*12,0))*F332),$B$3-(F332*$B$6-SUM(H$3:H332))))</f>
        <v>0</v>
      </c>
    </row>
    <row r="333" spans="1:13" x14ac:dyDescent="0.6">
      <c r="A333" s="4"/>
      <c r="B333" s="4"/>
      <c r="C333" s="4"/>
      <c r="D333" s="4"/>
      <c r="E333" s="23"/>
      <c r="F333" s="10">
        <v>331</v>
      </c>
      <c r="G333" s="11">
        <f>IF(F333&gt;$B$14, 0, IF(LOWER(LEFT($B$2,1))="s", ($B$3-($F333-1)*($B$3/ROUND($B$4*12,0)+$B$10))*($B$5/12),IF(F333=$B$14, ($B$3-((F333-1)*($B$10+$B$6)-SUM(G$3:G332)))*($B$5/12), ABS(IPMT($B$5/12,$F333,NPER($B$5/12,-ABS($B$6)-$B$10,$B$3,0),$B$3)))))</f>
        <v>0</v>
      </c>
      <c r="H333" s="12">
        <f t="shared" si="15"/>
        <v>0</v>
      </c>
      <c r="I333" s="11">
        <f t="shared" si="16"/>
        <v>0</v>
      </c>
      <c r="J333" s="12">
        <f>IF(H333=0, 0, ROUND(SUM(H$3:H333)-SUM(G$3:G333),0))</f>
        <v>0</v>
      </c>
      <c r="K333" s="12" t="str">
        <f t="shared" si="17"/>
        <v/>
      </c>
      <c r="L333" s="11">
        <f>IF($F333&gt;=$B$14, 0, IF(LOWER(LEFT($B$2,1))="s", ($B$3-($F333)*($B$3/ROUND($B$4*12,0)+$B$10)),$B$3-($F333*$B$6-SUM(G$3:G333)+$B$10*$F333)))</f>
        <v>0</v>
      </c>
      <c r="M333" s="11">
        <f>IF(F333&gt;=ROUND($B$4*12,0),0,IF(LOWER(LEFT($B$2,1))="s", ($B$3-($B$3/ROUND($B$4*12,0))*F333),$B$3-(F333*$B$6-SUM(H$3:H333))))</f>
        <v>0</v>
      </c>
    </row>
    <row r="334" spans="1:13" x14ac:dyDescent="0.6">
      <c r="A334" s="4"/>
      <c r="B334" s="4"/>
      <c r="C334" s="4"/>
      <c r="D334" s="4"/>
      <c r="E334" s="23"/>
      <c r="F334" s="14">
        <v>332</v>
      </c>
      <c r="G334" s="15">
        <f>IF(F334&gt;$B$14, 0, IF(LOWER(LEFT($B$2,1))="s", ($B$3-($F334-1)*($B$3/ROUND($B$4*12,0)+$B$10))*($B$5/12),IF(F334=$B$14, ($B$3-((F334-1)*($B$10+$B$6)-SUM(G$3:G333)))*($B$5/12), ABS(IPMT($B$5/12,$F334,NPER($B$5/12,-ABS($B$6)-$B$10,$B$3,0),$B$3)))))</f>
        <v>0</v>
      </c>
      <c r="H334" s="16">
        <f t="shared" si="15"/>
        <v>0</v>
      </c>
      <c r="I334" s="15">
        <f t="shared" si="16"/>
        <v>0</v>
      </c>
      <c r="J334" s="16">
        <f>IF(H334=0, 0, ROUND(SUM(H$3:H334)-SUM(G$3:G334),0))</f>
        <v>0</v>
      </c>
      <c r="K334" s="16" t="str">
        <f t="shared" si="17"/>
        <v/>
      </c>
      <c r="L334" s="15">
        <f>IF($F334&gt;=$B$14, 0, IF(LOWER(LEFT($B$2,1))="s", ($B$3-($F334)*($B$3/ROUND($B$4*12,0)+$B$10)),$B$3-($F334*$B$6-SUM(G$3:G334)+$B$10*$F334)))</f>
        <v>0</v>
      </c>
      <c r="M334" s="15">
        <f>IF(F334&gt;=ROUND($B$4*12,0),0,IF(LOWER(LEFT($B$2,1))="s", ($B$3-($B$3/ROUND($B$4*12,0))*F334),$B$3-(F334*$B$6-SUM(H$3:H334))))</f>
        <v>0</v>
      </c>
    </row>
    <row r="335" spans="1:13" x14ac:dyDescent="0.6">
      <c r="A335" s="4"/>
      <c r="B335" s="4"/>
      <c r="C335" s="4"/>
      <c r="D335" s="4"/>
      <c r="E335" s="23"/>
      <c r="F335" s="10">
        <v>333</v>
      </c>
      <c r="G335" s="11">
        <f>IF(F335&gt;$B$14, 0, IF(LOWER(LEFT($B$2,1))="s", ($B$3-($F335-1)*($B$3/ROUND($B$4*12,0)+$B$10))*($B$5/12),IF(F335=$B$14, ($B$3-((F335-1)*($B$10+$B$6)-SUM(G$3:G334)))*($B$5/12), ABS(IPMT($B$5/12,$F335,NPER($B$5/12,-ABS($B$6)-$B$10,$B$3,0),$B$3)))))</f>
        <v>0</v>
      </c>
      <c r="H335" s="12">
        <f t="shared" si="15"/>
        <v>0</v>
      </c>
      <c r="I335" s="11">
        <f t="shared" si="16"/>
        <v>0</v>
      </c>
      <c r="J335" s="12">
        <f>IF(H335=0, 0, ROUND(SUM(H$3:H335)-SUM(G$3:G335),0))</f>
        <v>0</v>
      </c>
      <c r="K335" s="12" t="str">
        <f t="shared" si="17"/>
        <v/>
      </c>
      <c r="L335" s="11">
        <f>IF($F335&gt;=$B$14, 0, IF(LOWER(LEFT($B$2,1))="s", ($B$3-($F335)*($B$3/ROUND($B$4*12,0)+$B$10)),$B$3-($F335*$B$6-SUM(G$3:G335)+$B$10*$F335)))</f>
        <v>0</v>
      </c>
      <c r="M335" s="11">
        <f>IF(F335&gt;=ROUND($B$4*12,0),0,IF(LOWER(LEFT($B$2,1))="s", ($B$3-($B$3/ROUND($B$4*12,0))*F335),$B$3-(F335*$B$6-SUM(H$3:H335))))</f>
        <v>0</v>
      </c>
    </row>
    <row r="336" spans="1:13" x14ac:dyDescent="0.6">
      <c r="A336" s="4"/>
      <c r="B336" s="4"/>
      <c r="C336" s="4"/>
      <c r="D336" s="4"/>
      <c r="E336" s="23"/>
      <c r="F336" s="14">
        <v>334</v>
      </c>
      <c r="G336" s="15">
        <f>IF(F336&gt;$B$14, 0, IF(LOWER(LEFT($B$2,1))="s", ($B$3-($F336-1)*($B$3/ROUND($B$4*12,0)+$B$10))*($B$5/12),IF(F336=$B$14, ($B$3-((F336-1)*($B$10+$B$6)-SUM(G$3:G335)))*($B$5/12), ABS(IPMT($B$5/12,$F336,NPER($B$5/12,-ABS($B$6)-$B$10,$B$3,0),$B$3)))))</f>
        <v>0</v>
      </c>
      <c r="H336" s="16">
        <f t="shared" si="15"/>
        <v>0</v>
      </c>
      <c r="I336" s="15">
        <f t="shared" si="16"/>
        <v>0</v>
      </c>
      <c r="J336" s="16">
        <f>IF(H336=0, 0, ROUND(SUM(H$3:H336)-SUM(G$3:G336),0))</f>
        <v>0</v>
      </c>
      <c r="K336" s="16" t="str">
        <f t="shared" si="17"/>
        <v/>
      </c>
      <c r="L336" s="15">
        <f>IF($F336&gt;=$B$14, 0, IF(LOWER(LEFT($B$2,1))="s", ($B$3-($F336)*($B$3/ROUND($B$4*12,0)+$B$10)),$B$3-($F336*$B$6-SUM(G$3:G336)+$B$10*$F336)))</f>
        <v>0</v>
      </c>
      <c r="M336" s="15">
        <f>IF(F336&gt;=ROUND($B$4*12,0),0,IF(LOWER(LEFT($B$2,1))="s", ($B$3-($B$3/ROUND($B$4*12,0))*F336),$B$3-(F336*$B$6-SUM(H$3:H336))))</f>
        <v>0</v>
      </c>
    </row>
    <row r="337" spans="1:13" x14ac:dyDescent="0.6">
      <c r="A337" s="4"/>
      <c r="B337" s="4"/>
      <c r="C337" s="4"/>
      <c r="D337" s="4"/>
      <c r="E337" s="23"/>
      <c r="F337" s="10">
        <v>335</v>
      </c>
      <c r="G337" s="11">
        <f>IF(F337&gt;$B$14, 0, IF(LOWER(LEFT($B$2,1))="s", ($B$3-($F337-1)*($B$3/ROUND($B$4*12,0)+$B$10))*($B$5/12),IF(F337=$B$14, ($B$3-((F337-1)*($B$10+$B$6)-SUM(G$3:G336)))*($B$5/12), ABS(IPMT($B$5/12,$F337,NPER($B$5/12,-ABS($B$6)-$B$10,$B$3,0),$B$3)))))</f>
        <v>0</v>
      </c>
      <c r="H337" s="12">
        <f t="shared" si="15"/>
        <v>0</v>
      </c>
      <c r="I337" s="11">
        <f t="shared" si="16"/>
        <v>0</v>
      </c>
      <c r="J337" s="12">
        <f>IF(H337=0, 0, ROUND(SUM(H$3:H337)-SUM(G$3:G337),0))</f>
        <v>0</v>
      </c>
      <c r="K337" s="12" t="str">
        <f t="shared" si="17"/>
        <v/>
      </c>
      <c r="L337" s="11">
        <f>IF($F337&gt;=$B$14, 0, IF(LOWER(LEFT($B$2,1))="s", ($B$3-($F337)*($B$3/ROUND($B$4*12,0)+$B$10)),$B$3-($F337*$B$6-SUM(G$3:G337)+$B$10*$F337)))</f>
        <v>0</v>
      </c>
      <c r="M337" s="11">
        <f>IF(F337&gt;=ROUND($B$4*12,0),0,IF(LOWER(LEFT($B$2,1))="s", ($B$3-($B$3/ROUND($B$4*12,0))*F337),$B$3-(F337*$B$6-SUM(H$3:H337))))</f>
        <v>0</v>
      </c>
    </row>
    <row r="338" spans="1:13" x14ac:dyDescent="0.6">
      <c r="A338" s="4"/>
      <c r="B338" s="4"/>
      <c r="C338" s="4"/>
      <c r="D338" s="4"/>
      <c r="E338" s="23" t="s">
        <v>51</v>
      </c>
      <c r="F338" s="14">
        <v>336</v>
      </c>
      <c r="G338" s="15">
        <f>IF(F338&gt;$B$14, 0, IF(LOWER(LEFT($B$2,1))="s", ($B$3-($F338-1)*($B$3/ROUND($B$4*12,0)+$B$10))*($B$5/12),IF(F338=$B$14, ($B$3-((F338-1)*($B$10+$B$6)-SUM(G$3:G337)))*($B$5/12), ABS(IPMT($B$5/12,$F338,NPER($B$5/12,-ABS($B$6)-$B$10,$B$3,0),$B$3)))))</f>
        <v>0</v>
      </c>
      <c r="H338" s="16">
        <f t="shared" si="15"/>
        <v>0</v>
      </c>
      <c r="I338" s="15">
        <f t="shared" si="16"/>
        <v>0</v>
      </c>
      <c r="J338" s="16">
        <f>IF(H338=0, 0, ROUND(SUM(H$3:H338)-SUM(G$3:G338),0))</f>
        <v>0</v>
      </c>
      <c r="K338" s="16" t="str">
        <f t="shared" si="17"/>
        <v/>
      </c>
      <c r="L338" s="15">
        <f>IF($F338&gt;=$B$14, 0, IF(LOWER(LEFT($B$2,1))="s", ($B$3-($F338)*($B$3/ROUND($B$4*12,0)+$B$10)),$B$3-($F338*$B$6-SUM(G$3:G338)+$B$10*$F338)))</f>
        <v>0</v>
      </c>
      <c r="M338" s="15">
        <f>IF(F338&gt;=ROUND($B$4*12,0),0,IF(LOWER(LEFT($B$2,1))="s", ($B$3-($B$3/ROUND($B$4*12,0))*F338),$B$3-(F338*$B$6-SUM(H$3:H338))))</f>
        <v>0</v>
      </c>
    </row>
    <row r="339" spans="1:13" x14ac:dyDescent="0.6">
      <c r="A339" s="4"/>
      <c r="B339" s="4"/>
      <c r="C339" s="4"/>
      <c r="D339" s="4"/>
      <c r="E339" s="23"/>
      <c r="F339" s="10">
        <v>337</v>
      </c>
      <c r="G339" s="11">
        <f>IF(F339&gt;$B$14, 0, IF(LOWER(LEFT($B$2,1))="s", ($B$3-($F339-1)*($B$3/ROUND($B$4*12,0)+$B$10))*($B$5/12),IF(F339=$B$14, ($B$3-((F339-1)*($B$10+$B$6)-SUM(G$3:G338)))*($B$5/12), ABS(IPMT($B$5/12,$F339,NPER($B$5/12,-ABS($B$6)-$B$10,$B$3,0),$B$3)))))</f>
        <v>0</v>
      </c>
      <c r="H339" s="12">
        <f t="shared" si="15"/>
        <v>0</v>
      </c>
      <c r="I339" s="11">
        <f t="shared" si="16"/>
        <v>0</v>
      </c>
      <c r="J339" s="12">
        <f>IF(H339=0, 0, ROUND(SUM(H$3:H339)-SUM(G$3:G339),0))</f>
        <v>0</v>
      </c>
      <c r="K339" s="12" t="str">
        <f t="shared" si="17"/>
        <v/>
      </c>
      <c r="L339" s="11">
        <f>IF($F339&gt;=$B$14, 0, IF(LOWER(LEFT($B$2,1))="s", ($B$3-($F339)*($B$3/ROUND($B$4*12,0)+$B$10)),$B$3-($F339*$B$6-SUM(G$3:G339)+$B$10*$F339)))</f>
        <v>0</v>
      </c>
      <c r="M339" s="11">
        <f>IF(F339&gt;=ROUND($B$4*12,0),0,IF(LOWER(LEFT($B$2,1))="s", ($B$3-($B$3/ROUND($B$4*12,0))*F339),$B$3-(F339*$B$6-SUM(H$3:H339))))</f>
        <v>0</v>
      </c>
    </row>
    <row r="340" spans="1:13" x14ac:dyDescent="0.6">
      <c r="A340" s="4"/>
      <c r="B340" s="4"/>
      <c r="C340" s="4"/>
      <c r="D340" s="4"/>
      <c r="E340" s="23"/>
      <c r="F340" s="14">
        <v>338</v>
      </c>
      <c r="G340" s="15">
        <f>IF(F340&gt;$B$14, 0, IF(LOWER(LEFT($B$2,1))="s", ($B$3-($F340-1)*($B$3/ROUND($B$4*12,0)+$B$10))*($B$5/12),IF(F340=$B$14, ($B$3-((F340-1)*($B$10+$B$6)-SUM(G$3:G339)))*($B$5/12), ABS(IPMT($B$5/12,$F340,NPER($B$5/12,-ABS($B$6)-$B$10,$B$3,0),$B$3)))))</f>
        <v>0</v>
      </c>
      <c r="H340" s="16">
        <f t="shared" si="15"/>
        <v>0</v>
      </c>
      <c r="I340" s="15">
        <f t="shared" si="16"/>
        <v>0</v>
      </c>
      <c r="J340" s="16">
        <f>IF(H340=0, 0, ROUND(SUM(H$3:H340)-SUM(G$3:G340),0))</f>
        <v>0</v>
      </c>
      <c r="K340" s="16" t="str">
        <f t="shared" si="17"/>
        <v/>
      </c>
      <c r="L340" s="15">
        <f>IF($F340&gt;=$B$14, 0, IF(LOWER(LEFT($B$2,1))="s", ($B$3-($F340)*($B$3/ROUND($B$4*12,0)+$B$10)),$B$3-($F340*$B$6-SUM(G$3:G340)+$B$10*$F340)))</f>
        <v>0</v>
      </c>
      <c r="M340" s="15">
        <f>IF(F340&gt;=ROUND($B$4*12,0),0,IF(LOWER(LEFT($B$2,1))="s", ($B$3-($B$3/ROUND($B$4*12,0))*F340),$B$3-(F340*$B$6-SUM(H$3:H340))))</f>
        <v>0</v>
      </c>
    </row>
    <row r="341" spans="1:13" x14ac:dyDescent="0.6">
      <c r="A341" s="4"/>
      <c r="B341" s="4"/>
      <c r="C341" s="4"/>
      <c r="D341" s="4"/>
      <c r="E341" s="23"/>
      <c r="F341" s="10">
        <v>339</v>
      </c>
      <c r="G341" s="11">
        <f>IF(F341&gt;$B$14, 0, IF(LOWER(LEFT($B$2,1))="s", ($B$3-($F341-1)*($B$3/ROUND($B$4*12,0)+$B$10))*($B$5/12),IF(F341=$B$14, ($B$3-((F341-1)*($B$10+$B$6)-SUM(G$3:G340)))*($B$5/12), ABS(IPMT($B$5/12,$F341,NPER($B$5/12,-ABS($B$6)-$B$10,$B$3,0),$B$3)))))</f>
        <v>0</v>
      </c>
      <c r="H341" s="12">
        <f t="shared" si="15"/>
        <v>0</v>
      </c>
      <c r="I341" s="11">
        <f t="shared" si="16"/>
        <v>0</v>
      </c>
      <c r="J341" s="12">
        <f>IF(H341=0, 0, ROUND(SUM(H$3:H341)-SUM(G$3:G341),0))</f>
        <v>0</v>
      </c>
      <c r="K341" s="12" t="str">
        <f t="shared" si="17"/>
        <v/>
      </c>
      <c r="L341" s="11">
        <f>IF($F341&gt;=$B$14, 0, IF(LOWER(LEFT($B$2,1))="s", ($B$3-($F341)*($B$3/ROUND($B$4*12,0)+$B$10)),$B$3-($F341*$B$6-SUM(G$3:G341)+$B$10*$F341)))</f>
        <v>0</v>
      </c>
      <c r="M341" s="11">
        <f>IF(F341&gt;=ROUND($B$4*12,0),0,IF(LOWER(LEFT($B$2,1))="s", ($B$3-($B$3/ROUND($B$4*12,0))*F341),$B$3-(F341*$B$6-SUM(H$3:H341))))</f>
        <v>0</v>
      </c>
    </row>
    <row r="342" spans="1:13" x14ac:dyDescent="0.6">
      <c r="A342" s="4"/>
      <c r="B342" s="4"/>
      <c r="C342" s="4"/>
      <c r="D342" s="4"/>
      <c r="E342" s="23"/>
      <c r="F342" s="14">
        <v>340</v>
      </c>
      <c r="G342" s="15">
        <f>IF(F342&gt;$B$14, 0, IF(LOWER(LEFT($B$2,1))="s", ($B$3-($F342-1)*($B$3/ROUND($B$4*12,0)+$B$10))*($B$5/12),IF(F342=$B$14, ($B$3-((F342-1)*($B$10+$B$6)-SUM(G$3:G341)))*($B$5/12), ABS(IPMT($B$5/12,$F342,NPER($B$5/12,-ABS($B$6)-$B$10,$B$3,0),$B$3)))))</f>
        <v>0</v>
      </c>
      <c r="H342" s="16">
        <f t="shared" si="15"/>
        <v>0</v>
      </c>
      <c r="I342" s="15">
        <f t="shared" si="16"/>
        <v>0</v>
      </c>
      <c r="J342" s="16">
        <f>IF(H342=0, 0, ROUND(SUM(H$3:H342)-SUM(G$3:G342),0))</f>
        <v>0</v>
      </c>
      <c r="K342" s="16" t="str">
        <f t="shared" si="17"/>
        <v/>
      </c>
      <c r="L342" s="15">
        <f>IF($F342&gt;=$B$14, 0, IF(LOWER(LEFT($B$2,1))="s", ($B$3-($F342)*($B$3/ROUND($B$4*12,0)+$B$10)),$B$3-($F342*$B$6-SUM(G$3:G342)+$B$10*$F342)))</f>
        <v>0</v>
      </c>
      <c r="M342" s="15">
        <f>IF(F342&gt;=ROUND($B$4*12,0),0,IF(LOWER(LEFT($B$2,1))="s", ($B$3-($B$3/ROUND($B$4*12,0))*F342),$B$3-(F342*$B$6-SUM(H$3:H342))))</f>
        <v>0</v>
      </c>
    </row>
    <row r="343" spans="1:13" x14ac:dyDescent="0.6">
      <c r="A343" s="4"/>
      <c r="B343" s="4"/>
      <c r="C343" s="4"/>
      <c r="D343" s="4"/>
      <c r="E343" s="23"/>
      <c r="F343" s="10">
        <v>341</v>
      </c>
      <c r="G343" s="11">
        <f>IF(F343&gt;$B$14, 0, IF(LOWER(LEFT($B$2,1))="s", ($B$3-($F343-1)*($B$3/ROUND($B$4*12,0)+$B$10))*($B$5/12),IF(F343=$B$14, ($B$3-((F343-1)*($B$10+$B$6)-SUM(G$3:G342)))*($B$5/12), ABS(IPMT($B$5/12,$F343,NPER($B$5/12,-ABS($B$6)-$B$10,$B$3,0),$B$3)))))</f>
        <v>0</v>
      </c>
      <c r="H343" s="12">
        <f t="shared" si="15"/>
        <v>0</v>
      </c>
      <c r="I343" s="11">
        <f t="shared" si="16"/>
        <v>0</v>
      </c>
      <c r="J343" s="12">
        <f>IF(H343=0, 0, ROUND(SUM(H$3:H343)-SUM(G$3:G343),0))</f>
        <v>0</v>
      </c>
      <c r="K343" s="12" t="str">
        <f t="shared" si="17"/>
        <v/>
      </c>
      <c r="L343" s="11">
        <f>IF($F343&gt;=$B$14, 0, IF(LOWER(LEFT($B$2,1))="s", ($B$3-($F343)*($B$3/ROUND($B$4*12,0)+$B$10)),$B$3-($F343*$B$6-SUM(G$3:G343)+$B$10*$F343)))</f>
        <v>0</v>
      </c>
      <c r="M343" s="11">
        <f>IF(F343&gt;=ROUND($B$4*12,0),0,IF(LOWER(LEFT($B$2,1))="s", ($B$3-($B$3/ROUND($B$4*12,0))*F343),$B$3-(F343*$B$6-SUM(H$3:H343))))</f>
        <v>0</v>
      </c>
    </row>
    <row r="344" spans="1:13" x14ac:dyDescent="0.6">
      <c r="A344" s="4"/>
      <c r="B344" s="4"/>
      <c r="C344" s="4"/>
      <c r="D344" s="4"/>
      <c r="E344" s="23"/>
      <c r="F344" s="14">
        <v>342</v>
      </c>
      <c r="G344" s="15">
        <f>IF(F344&gt;$B$14, 0, IF(LOWER(LEFT($B$2,1))="s", ($B$3-($F344-1)*($B$3/ROUND($B$4*12,0)+$B$10))*($B$5/12),IF(F344=$B$14, ($B$3-((F344-1)*($B$10+$B$6)-SUM(G$3:G343)))*($B$5/12), ABS(IPMT($B$5/12,$F344,NPER($B$5/12,-ABS($B$6)-$B$10,$B$3,0),$B$3)))))</f>
        <v>0</v>
      </c>
      <c r="H344" s="16">
        <f t="shared" si="15"/>
        <v>0</v>
      </c>
      <c r="I344" s="15">
        <f t="shared" si="16"/>
        <v>0</v>
      </c>
      <c r="J344" s="16">
        <f>IF(H344=0, 0, ROUND(SUM(H$3:H344)-SUM(G$3:G344),0))</f>
        <v>0</v>
      </c>
      <c r="K344" s="16" t="str">
        <f t="shared" si="17"/>
        <v/>
      </c>
      <c r="L344" s="15">
        <f>IF($F344&gt;=$B$14, 0, IF(LOWER(LEFT($B$2,1))="s", ($B$3-($F344)*($B$3/ROUND($B$4*12,0)+$B$10)),$B$3-($F344*$B$6-SUM(G$3:G344)+$B$10*$F344)))</f>
        <v>0</v>
      </c>
      <c r="M344" s="15">
        <f>IF(F344&gt;=ROUND($B$4*12,0),0,IF(LOWER(LEFT($B$2,1))="s", ($B$3-($B$3/ROUND($B$4*12,0))*F344),$B$3-(F344*$B$6-SUM(H$3:H344))))</f>
        <v>0</v>
      </c>
    </row>
    <row r="345" spans="1:13" x14ac:dyDescent="0.6">
      <c r="A345" s="4"/>
      <c r="B345" s="4"/>
      <c r="C345" s="4"/>
      <c r="D345" s="4"/>
      <c r="E345" s="23"/>
      <c r="F345" s="10">
        <v>343</v>
      </c>
      <c r="G345" s="11">
        <f>IF(F345&gt;$B$14, 0, IF(LOWER(LEFT($B$2,1))="s", ($B$3-($F345-1)*($B$3/ROUND($B$4*12,0)+$B$10))*($B$5/12),IF(F345=$B$14, ($B$3-((F345-1)*($B$10+$B$6)-SUM(G$3:G344)))*($B$5/12), ABS(IPMT($B$5/12,$F345,NPER($B$5/12,-ABS($B$6)-$B$10,$B$3,0),$B$3)))))</f>
        <v>0</v>
      </c>
      <c r="H345" s="12">
        <f t="shared" si="15"/>
        <v>0</v>
      </c>
      <c r="I345" s="11">
        <f t="shared" si="16"/>
        <v>0</v>
      </c>
      <c r="J345" s="12">
        <f>IF(H345=0, 0, ROUND(SUM(H$3:H345)-SUM(G$3:G345),0))</f>
        <v>0</v>
      </c>
      <c r="K345" s="12" t="str">
        <f t="shared" si="17"/>
        <v/>
      </c>
      <c r="L345" s="11">
        <f>IF($F345&gt;=$B$14, 0, IF(LOWER(LEFT($B$2,1))="s", ($B$3-($F345)*($B$3/ROUND($B$4*12,0)+$B$10)),$B$3-($F345*$B$6-SUM(G$3:G345)+$B$10*$F345)))</f>
        <v>0</v>
      </c>
      <c r="M345" s="11">
        <f>IF(F345&gt;=ROUND($B$4*12,0),0,IF(LOWER(LEFT($B$2,1))="s", ($B$3-($B$3/ROUND($B$4*12,0))*F345),$B$3-(F345*$B$6-SUM(H$3:H345))))</f>
        <v>0</v>
      </c>
    </row>
    <row r="346" spans="1:13" x14ac:dyDescent="0.6">
      <c r="A346" s="4"/>
      <c r="B346" s="4"/>
      <c r="C346" s="4"/>
      <c r="D346" s="4"/>
      <c r="E346" s="23"/>
      <c r="F346" s="14">
        <v>344</v>
      </c>
      <c r="G346" s="15">
        <f>IF(F346&gt;$B$14, 0, IF(LOWER(LEFT($B$2,1))="s", ($B$3-($F346-1)*($B$3/ROUND($B$4*12,0)+$B$10))*($B$5/12),IF(F346=$B$14, ($B$3-((F346-1)*($B$10+$B$6)-SUM(G$3:G345)))*($B$5/12), ABS(IPMT($B$5/12,$F346,NPER($B$5/12,-ABS($B$6)-$B$10,$B$3,0),$B$3)))))</f>
        <v>0</v>
      </c>
      <c r="H346" s="16">
        <f t="shared" si="15"/>
        <v>0</v>
      </c>
      <c r="I346" s="15">
        <f t="shared" si="16"/>
        <v>0</v>
      </c>
      <c r="J346" s="16">
        <f>IF(H346=0, 0, ROUND(SUM(H$3:H346)-SUM(G$3:G346),0))</f>
        <v>0</v>
      </c>
      <c r="K346" s="16" t="str">
        <f t="shared" si="17"/>
        <v/>
      </c>
      <c r="L346" s="15">
        <f>IF($F346&gt;=$B$14, 0, IF(LOWER(LEFT($B$2,1))="s", ($B$3-($F346)*($B$3/ROUND($B$4*12,0)+$B$10)),$B$3-($F346*$B$6-SUM(G$3:G346)+$B$10*$F346)))</f>
        <v>0</v>
      </c>
      <c r="M346" s="15">
        <f>IF(F346&gt;=ROUND($B$4*12,0),0,IF(LOWER(LEFT($B$2,1))="s", ($B$3-($B$3/ROUND($B$4*12,0))*F346),$B$3-(F346*$B$6-SUM(H$3:H346))))</f>
        <v>0</v>
      </c>
    </row>
    <row r="347" spans="1:13" x14ac:dyDescent="0.6">
      <c r="A347" s="4"/>
      <c r="B347" s="4"/>
      <c r="C347" s="4"/>
      <c r="D347" s="4"/>
      <c r="E347" s="23"/>
      <c r="F347" s="10">
        <v>345</v>
      </c>
      <c r="G347" s="11">
        <f>IF(F347&gt;$B$14, 0, IF(LOWER(LEFT($B$2,1))="s", ($B$3-($F347-1)*($B$3/ROUND($B$4*12,0)+$B$10))*($B$5/12),IF(F347=$B$14, ($B$3-((F347-1)*($B$10+$B$6)-SUM(G$3:G346)))*($B$5/12), ABS(IPMT($B$5/12,$F347,NPER($B$5/12,-ABS($B$6)-$B$10,$B$3,0),$B$3)))))</f>
        <v>0</v>
      </c>
      <c r="H347" s="12">
        <f t="shared" si="15"/>
        <v>0</v>
      </c>
      <c r="I347" s="11">
        <f t="shared" si="16"/>
        <v>0</v>
      </c>
      <c r="J347" s="12">
        <f>IF(H347=0, 0, ROUND(SUM(H$3:H347)-SUM(G$3:G347),0))</f>
        <v>0</v>
      </c>
      <c r="K347" s="12" t="str">
        <f t="shared" si="17"/>
        <v/>
      </c>
      <c r="L347" s="11">
        <f>IF($F347&gt;=$B$14, 0, IF(LOWER(LEFT($B$2,1))="s", ($B$3-($F347)*($B$3/ROUND($B$4*12,0)+$B$10)),$B$3-($F347*$B$6-SUM(G$3:G347)+$B$10*$F347)))</f>
        <v>0</v>
      </c>
      <c r="M347" s="11">
        <f>IF(F347&gt;=ROUND($B$4*12,0),0,IF(LOWER(LEFT($B$2,1))="s", ($B$3-($B$3/ROUND($B$4*12,0))*F347),$B$3-(F347*$B$6-SUM(H$3:H347))))</f>
        <v>0</v>
      </c>
    </row>
    <row r="348" spans="1:13" x14ac:dyDescent="0.6">
      <c r="A348" s="4"/>
      <c r="B348" s="4"/>
      <c r="C348" s="4"/>
      <c r="D348" s="4"/>
      <c r="E348" s="23"/>
      <c r="F348" s="14">
        <v>346</v>
      </c>
      <c r="G348" s="15">
        <f>IF(F348&gt;$B$14, 0, IF(LOWER(LEFT($B$2,1))="s", ($B$3-($F348-1)*($B$3/ROUND($B$4*12,0)+$B$10))*($B$5/12),IF(F348=$B$14, ($B$3-((F348-1)*($B$10+$B$6)-SUM(G$3:G347)))*($B$5/12), ABS(IPMT($B$5/12,$F348,NPER($B$5/12,-ABS($B$6)-$B$10,$B$3,0),$B$3)))))</f>
        <v>0</v>
      </c>
      <c r="H348" s="16">
        <f t="shared" si="15"/>
        <v>0</v>
      </c>
      <c r="I348" s="15">
        <f t="shared" si="16"/>
        <v>0</v>
      </c>
      <c r="J348" s="16">
        <f>IF(H348=0, 0, ROUND(SUM(H$3:H348)-SUM(G$3:G348),0))</f>
        <v>0</v>
      </c>
      <c r="K348" s="16" t="str">
        <f t="shared" si="17"/>
        <v/>
      </c>
      <c r="L348" s="15">
        <f>IF($F348&gt;=$B$14, 0, IF(LOWER(LEFT($B$2,1))="s", ($B$3-($F348)*($B$3/ROUND($B$4*12,0)+$B$10)),$B$3-($F348*$B$6-SUM(G$3:G348)+$B$10*$F348)))</f>
        <v>0</v>
      </c>
      <c r="M348" s="15">
        <f>IF(F348&gt;=ROUND($B$4*12,0),0,IF(LOWER(LEFT($B$2,1))="s", ($B$3-($B$3/ROUND($B$4*12,0))*F348),$B$3-(F348*$B$6-SUM(H$3:H348))))</f>
        <v>0</v>
      </c>
    </row>
    <row r="349" spans="1:13" x14ac:dyDescent="0.6">
      <c r="A349" s="4"/>
      <c r="B349" s="4"/>
      <c r="C349" s="4"/>
      <c r="D349" s="4"/>
      <c r="E349" s="23"/>
      <c r="F349" s="10">
        <v>347</v>
      </c>
      <c r="G349" s="11">
        <f>IF(F349&gt;$B$14, 0, IF(LOWER(LEFT($B$2,1))="s", ($B$3-($F349-1)*($B$3/ROUND($B$4*12,0)+$B$10))*($B$5/12),IF(F349=$B$14, ($B$3-((F349-1)*($B$10+$B$6)-SUM(G$3:G348)))*($B$5/12), ABS(IPMT($B$5/12,$F349,NPER($B$5/12,-ABS($B$6)-$B$10,$B$3,0),$B$3)))))</f>
        <v>0</v>
      </c>
      <c r="H349" s="12">
        <f t="shared" si="15"/>
        <v>0</v>
      </c>
      <c r="I349" s="11">
        <f t="shared" si="16"/>
        <v>0</v>
      </c>
      <c r="J349" s="12">
        <f>IF(H349=0, 0, ROUND(SUM(H$3:H349)-SUM(G$3:G349),0))</f>
        <v>0</v>
      </c>
      <c r="K349" s="12" t="str">
        <f t="shared" si="17"/>
        <v/>
      </c>
      <c r="L349" s="11">
        <f>IF($F349&gt;=$B$14, 0, IF(LOWER(LEFT($B$2,1))="s", ($B$3-($F349)*($B$3/ROUND($B$4*12,0)+$B$10)),$B$3-($F349*$B$6-SUM(G$3:G349)+$B$10*$F349)))</f>
        <v>0</v>
      </c>
      <c r="M349" s="11">
        <f>IF(F349&gt;=ROUND($B$4*12,0),0,IF(LOWER(LEFT($B$2,1))="s", ($B$3-($B$3/ROUND($B$4*12,0))*F349),$B$3-(F349*$B$6-SUM(H$3:H349))))</f>
        <v>0</v>
      </c>
    </row>
    <row r="350" spans="1:13" x14ac:dyDescent="0.6">
      <c r="A350" s="4"/>
      <c r="B350" s="4"/>
      <c r="C350" s="4"/>
      <c r="D350" s="4"/>
      <c r="E350" s="23" t="s">
        <v>52</v>
      </c>
      <c r="F350" s="14">
        <v>348</v>
      </c>
      <c r="G350" s="15">
        <f>IF(F350&gt;$B$14, 0, IF(LOWER(LEFT($B$2,1))="s", ($B$3-($F350-1)*($B$3/ROUND($B$4*12,0)+$B$10))*($B$5/12),IF(F350=$B$14, ($B$3-((F350-1)*($B$10+$B$6)-SUM(G$3:G349)))*($B$5/12), ABS(IPMT($B$5/12,$F350,NPER($B$5/12,-ABS($B$6)-$B$10,$B$3,0),$B$3)))))</f>
        <v>0</v>
      </c>
      <c r="H350" s="16">
        <f t="shared" si="15"/>
        <v>0</v>
      </c>
      <c r="I350" s="15">
        <f t="shared" si="16"/>
        <v>0</v>
      </c>
      <c r="J350" s="16">
        <f>IF(H350=0, 0, ROUND(SUM(H$3:H350)-SUM(G$3:G350),0))</f>
        <v>0</v>
      </c>
      <c r="K350" s="16" t="str">
        <f t="shared" si="17"/>
        <v/>
      </c>
      <c r="L350" s="15">
        <f>IF($F350&gt;=$B$14, 0, IF(LOWER(LEFT($B$2,1))="s", ($B$3-($F350)*($B$3/ROUND($B$4*12,0)+$B$10)),$B$3-($F350*$B$6-SUM(G$3:G350)+$B$10*$F350)))</f>
        <v>0</v>
      </c>
      <c r="M350" s="15">
        <f>IF(F350&gt;=ROUND($B$4*12,0),0,IF(LOWER(LEFT($B$2,1))="s", ($B$3-($B$3/ROUND($B$4*12,0))*F350),$B$3-(F350*$B$6-SUM(H$3:H350))))</f>
        <v>0</v>
      </c>
    </row>
    <row r="351" spans="1:13" x14ac:dyDescent="0.6">
      <c r="A351" s="4"/>
      <c r="B351" s="4"/>
      <c r="C351" s="4"/>
      <c r="D351" s="4"/>
      <c r="E351" s="23"/>
      <c r="F351" s="10">
        <v>349</v>
      </c>
      <c r="G351" s="11">
        <f>IF(F351&gt;$B$14, 0, IF(LOWER(LEFT($B$2,1))="s", ($B$3-($F351-1)*($B$3/ROUND($B$4*12,0)+$B$10))*($B$5/12),IF(F351=$B$14, ($B$3-((F351-1)*($B$10+$B$6)-SUM(G$3:G350)))*($B$5/12), ABS(IPMT($B$5/12,$F351,NPER($B$5/12,-ABS($B$6)-$B$10,$B$3,0),$B$3)))))</f>
        <v>0</v>
      </c>
      <c r="H351" s="12">
        <f t="shared" si="15"/>
        <v>0</v>
      </c>
      <c r="I351" s="11">
        <f t="shared" si="16"/>
        <v>0</v>
      </c>
      <c r="J351" s="12">
        <f>IF(H351=0, 0, ROUND(SUM(H$3:H351)-SUM(G$3:G351),0))</f>
        <v>0</v>
      </c>
      <c r="K351" s="12" t="str">
        <f t="shared" si="17"/>
        <v/>
      </c>
      <c r="L351" s="11">
        <f>IF($F351&gt;=$B$14, 0, IF(LOWER(LEFT($B$2,1))="s", ($B$3-($F351)*($B$3/ROUND($B$4*12,0)+$B$10)),$B$3-($F351*$B$6-SUM(G$3:G351)+$B$10*$F351)))</f>
        <v>0</v>
      </c>
      <c r="M351" s="11">
        <f>IF(F351&gt;=ROUND($B$4*12,0),0,IF(LOWER(LEFT($B$2,1))="s", ($B$3-($B$3/ROUND($B$4*12,0))*F351),$B$3-(F351*$B$6-SUM(H$3:H351))))</f>
        <v>0</v>
      </c>
    </row>
    <row r="352" spans="1:13" x14ac:dyDescent="0.6">
      <c r="A352" s="4"/>
      <c r="B352" s="4"/>
      <c r="C352" s="4"/>
      <c r="D352" s="4"/>
      <c r="E352" s="23"/>
      <c r="F352" s="14">
        <v>350</v>
      </c>
      <c r="G352" s="15">
        <f>IF(F352&gt;$B$14, 0, IF(LOWER(LEFT($B$2,1))="s", ($B$3-($F352-1)*($B$3/ROUND($B$4*12,0)+$B$10))*($B$5/12),IF(F352=$B$14, ($B$3-((F352-1)*($B$10+$B$6)-SUM(G$3:G351)))*($B$5/12), ABS(IPMT($B$5/12,$F352,NPER($B$5/12,-ABS($B$6)-$B$10,$B$3,0),$B$3)))))</f>
        <v>0</v>
      </c>
      <c r="H352" s="16">
        <f t="shared" si="15"/>
        <v>0</v>
      </c>
      <c r="I352" s="15">
        <f t="shared" si="16"/>
        <v>0</v>
      </c>
      <c r="J352" s="16">
        <f>IF(H352=0, 0, ROUND(SUM(H$3:H352)-SUM(G$3:G352),0))</f>
        <v>0</v>
      </c>
      <c r="K352" s="16" t="str">
        <f t="shared" si="17"/>
        <v/>
      </c>
      <c r="L352" s="15">
        <f>IF($F352&gt;=$B$14, 0, IF(LOWER(LEFT($B$2,1))="s", ($B$3-($F352)*($B$3/ROUND($B$4*12,0)+$B$10)),$B$3-($F352*$B$6-SUM(G$3:G352)+$B$10*$F352)))</f>
        <v>0</v>
      </c>
      <c r="M352" s="15">
        <f>IF(F352&gt;=ROUND($B$4*12,0),0,IF(LOWER(LEFT($B$2,1))="s", ($B$3-($B$3/ROUND($B$4*12,0))*F352),$B$3-(F352*$B$6-SUM(H$3:H352))))</f>
        <v>0</v>
      </c>
    </row>
    <row r="353" spans="1:13" x14ac:dyDescent="0.6">
      <c r="A353" s="4"/>
      <c r="B353" s="4"/>
      <c r="C353" s="4"/>
      <c r="D353" s="4"/>
      <c r="E353" s="23"/>
      <c r="F353" s="10">
        <v>351</v>
      </c>
      <c r="G353" s="11">
        <f>IF(F353&gt;$B$14, 0, IF(LOWER(LEFT($B$2,1))="s", ($B$3-($F353-1)*($B$3/ROUND($B$4*12,0)+$B$10))*($B$5/12),IF(F353=$B$14, ($B$3-((F353-1)*($B$10+$B$6)-SUM(G$3:G352)))*($B$5/12), ABS(IPMT($B$5/12,$F353,NPER($B$5/12,-ABS($B$6)-$B$10,$B$3,0),$B$3)))))</f>
        <v>0</v>
      </c>
      <c r="H353" s="12">
        <f t="shared" si="15"/>
        <v>0</v>
      </c>
      <c r="I353" s="11">
        <f t="shared" si="16"/>
        <v>0</v>
      </c>
      <c r="J353" s="12">
        <f>IF(H353=0, 0, ROUND(SUM(H$3:H353)-SUM(G$3:G353),0))</f>
        <v>0</v>
      </c>
      <c r="K353" s="12" t="str">
        <f t="shared" si="17"/>
        <v/>
      </c>
      <c r="L353" s="11">
        <f>IF($F353&gt;=$B$14, 0, IF(LOWER(LEFT($B$2,1))="s", ($B$3-($F353)*($B$3/ROUND($B$4*12,0)+$B$10)),$B$3-($F353*$B$6-SUM(G$3:G353)+$B$10*$F353)))</f>
        <v>0</v>
      </c>
      <c r="M353" s="11">
        <f>IF(F353&gt;=ROUND($B$4*12,0),0,IF(LOWER(LEFT($B$2,1))="s", ($B$3-($B$3/ROUND($B$4*12,0))*F353),$B$3-(F353*$B$6-SUM(H$3:H353))))</f>
        <v>0</v>
      </c>
    </row>
    <row r="354" spans="1:13" x14ac:dyDescent="0.6">
      <c r="A354" s="4"/>
      <c r="B354" s="4"/>
      <c r="C354" s="4"/>
      <c r="D354" s="4"/>
      <c r="E354" s="23"/>
      <c r="F354" s="14">
        <v>352</v>
      </c>
      <c r="G354" s="15">
        <f>IF(F354&gt;$B$14, 0, IF(LOWER(LEFT($B$2,1))="s", ($B$3-($F354-1)*($B$3/ROUND($B$4*12,0)+$B$10))*($B$5/12),IF(F354=$B$14, ($B$3-((F354-1)*($B$10+$B$6)-SUM(G$3:G353)))*($B$5/12), ABS(IPMT($B$5/12,$F354,NPER($B$5/12,-ABS($B$6)-$B$10,$B$3,0),$B$3)))))</f>
        <v>0</v>
      </c>
      <c r="H354" s="16">
        <f t="shared" si="15"/>
        <v>0</v>
      </c>
      <c r="I354" s="15">
        <f t="shared" si="16"/>
        <v>0</v>
      </c>
      <c r="J354" s="16">
        <f>IF(H354=0, 0, ROUND(SUM(H$3:H354)-SUM(G$3:G354),0))</f>
        <v>0</v>
      </c>
      <c r="K354" s="16" t="str">
        <f t="shared" si="17"/>
        <v/>
      </c>
      <c r="L354" s="15">
        <f>IF($F354&gt;=$B$14, 0, IF(LOWER(LEFT($B$2,1))="s", ($B$3-($F354)*($B$3/ROUND($B$4*12,0)+$B$10)),$B$3-($F354*$B$6-SUM(G$3:G354)+$B$10*$F354)))</f>
        <v>0</v>
      </c>
      <c r="M354" s="15">
        <f>IF(F354&gt;=ROUND($B$4*12,0),0,IF(LOWER(LEFT($B$2,1))="s", ($B$3-($B$3/ROUND($B$4*12,0))*F354),$B$3-(F354*$B$6-SUM(H$3:H354))))</f>
        <v>0</v>
      </c>
    </row>
    <row r="355" spans="1:13" x14ac:dyDescent="0.6">
      <c r="A355" s="4"/>
      <c r="B355" s="4"/>
      <c r="C355" s="4"/>
      <c r="D355" s="4"/>
      <c r="E355" s="23"/>
      <c r="F355" s="10">
        <v>353</v>
      </c>
      <c r="G355" s="11">
        <f>IF(F355&gt;$B$14, 0, IF(LOWER(LEFT($B$2,1))="s", ($B$3-($F355-1)*($B$3/ROUND($B$4*12,0)+$B$10))*($B$5/12),IF(F355=$B$14, ($B$3-((F355-1)*($B$10+$B$6)-SUM(G$3:G354)))*($B$5/12), ABS(IPMT($B$5/12,$F355,NPER($B$5/12,-ABS($B$6)-$B$10,$B$3,0),$B$3)))))</f>
        <v>0</v>
      </c>
      <c r="H355" s="12">
        <f t="shared" si="15"/>
        <v>0</v>
      </c>
      <c r="I355" s="11">
        <f t="shared" si="16"/>
        <v>0</v>
      </c>
      <c r="J355" s="12">
        <f>IF(H355=0, 0, ROUND(SUM(H$3:H355)-SUM(G$3:G355),0))</f>
        <v>0</v>
      </c>
      <c r="K355" s="12" t="str">
        <f t="shared" si="17"/>
        <v/>
      </c>
      <c r="L355" s="11">
        <f>IF($F355&gt;=$B$14, 0, IF(LOWER(LEFT($B$2,1))="s", ($B$3-($F355)*($B$3/ROUND($B$4*12,0)+$B$10)),$B$3-($F355*$B$6-SUM(G$3:G355)+$B$10*$F355)))</f>
        <v>0</v>
      </c>
      <c r="M355" s="11">
        <f>IF(F355&gt;=ROUND($B$4*12,0),0,IF(LOWER(LEFT($B$2,1))="s", ($B$3-($B$3/ROUND($B$4*12,0))*F355),$B$3-(F355*$B$6-SUM(H$3:H355))))</f>
        <v>0</v>
      </c>
    </row>
    <row r="356" spans="1:13" x14ac:dyDescent="0.6">
      <c r="A356" s="4"/>
      <c r="B356" s="4"/>
      <c r="C356" s="4"/>
      <c r="D356" s="4"/>
      <c r="E356" s="23"/>
      <c r="F356" s="14">
        <v>354</v>
      </c>
      <c r="G356" s="15">
        <f>IF(F356&gt;$B$14, 0, IF(LOWER(LEFT($B$2,1))="s", ($B$3-($F356-1)*($B$3/ROUND($B$4*12,0)+$B$10))*($B$5/12),IF(F356=$B$14, ($B$3-((F356-1)*($B$10+$B$6)-SUM(G$3:G355)))*($B$5/12), ABS(IPMT($B$5/12,$F356,NPER($B$5/12,-ABS($B$6)-$B$10,$B$3,0),$B$3)))))</f>
        <v>0</v>
      </c>
      <c r="H356" s="16">
        <f t="shared" si="15"/>
        <v>0</v>
      </c>
      <c r="I356" s="15">
        <f t="shared" si="16"/>
        <v>0</v>
      </c>
      <c r="J356" s="16">
        <f>IF(H356=0, 0, ROUND(SUM(H$3:H356)-SUM(G$3:G356),0))</f>
        <v>0</v>
      </c>
      <c r="K356" s="16" t="str">
        <f t="shared" si="17"/>
        <v/>
      </c>
      <c r="L356" s="15">
        <f>IF($F356&gt;=$B$14, 0, IF(LOWER(LEFT($B$2,1))="s", ($B$3-($F356)*($B$3/ROUND($B$4*12,0)+$B$10)),$B$3-($F356*$B$6-SUM(G$3:G356)+$B$10*$F356)))</f>
        <v>0</v>
      </c>
      <c r="M356" s="15">
        <f>IF(F356&gt;=ROUND($B$4*12,0),0,IF(LOWER(LEFT($B$2,1))="s", ($B$3-($B$3/ROUND($B$4*12,0))*F356),$B$3-(F356*$B$6-SUM(H$3:H356))))</f>
        <v>0</v>
      </c>
    </row>
    <row r="357" spans="1:13" x14ac:dyDescent="0.6">
      <c r="A357" s="4"/>
      <c r="B357" s="4"/>
      <c r="C357" s="4"/>
      <c r="D357" s="4"/>
      <c r="E357" s="23"/>
      <c r="F357" s="10">
        <v>355</v>
      </c>
      <c r="G357" s="11">
        <f>IF(F357&gt;$B$14, 0, IF(LOWER(LEFT($B$2,1))="s", ($B$3-($F357-1)*($B$3/ROUND($B$4*12,0)+$B$10))*($B$5/12),IF(F357=$B$14, ($B$3-((F357-1)*($B$10+$B$6)-SUM(G$3:G356)))*($B$5/12), ABS(IPMT($B$5/12,$F357,NPER($B$5/12,-ABS($B$6)-$B$10,$B$3,0),$B$3)))))</f>
        <v>0</v>
      </c>
      <c r="H357" s="12">
        <f t="shared" si="15"/>
        <v>0</v>
      </c>
      <c r="I357" s="11">
        <f t="shared" si="16"/>
        <v>0</v>
      </c>
      <c r="J357" s="12">
        <f>IF(H357=0, 0, ROUND(SUM(H$3:H357)-SUM(G$3:G357),0))</f>
        <v>0</v>
      </c>
      <c r="K357" s="12" t="str">
        <f t="shared" si="17"/>
        <v/>
      </c>
      <c r="L357" s="11">
        <f>IF($F357&gt;=$B$14, 0, IF(LOWER(LEFT($B$2,1))="s", ($B$3-($F357)*($B$3/ROUND($B$4*12,0)+$B$10)),$B$3-($F357*$B$6-SUM(G$3:G357)+$B$10*$F357)))</f>
        <v>0</v>
      </c>
      <c r="M357" s="11">
        <f>IF(F357&gt;=ROUND($B$4*12,0),0,IF(LOWER(LEFT($B$2,1))="s", ($B$3-($B$3/ROUND($B$4*12,0))*F357),$B$3-(F357*$B$6-SUM(H$3:H357))))</f>
        <v>0</v>
      </c>
    </row>
    <row r="358" spans="1:13" x14ac:dyDescent="0.6">
      <c r="A358" s="4"/>
      <c r="B358" s="4"/>
      <c r="C358" s="4"/>
      <c r="D358" s="4"/>
      <c r="E358" s="23"/>
      <c r="F358" s="14">
        <v>356</v>
      </c>
      <c r="G358" s="15">
        <f>IF(F358&gt;$B$14, 0, IF(LOWER(LEFT($B$2,1))="s", ($B$3-($F358-1)*($B$3/ROUND($B$4*12,0)+$B$10))*($B$5/12),IF(F358=$B$14, ($B$3-((F358-1)*($B$10+$B$6)-SUM(G$3:G357)))*($B$5/12), ABS(IPMT($B$5/12,$F358,NPER($B$5/12,-ABS($B$6)-$B$10,$B$3,0),$B$3)))))</f>
        <v>0</v>
      </c>
      <c r="H358" s="16">
        <f t="shared" si="15"/>
        <v>0</v>
      </c>
      <c r="I358" s="15">
        <f t="shared" si="16"/>
        <v>0</v>
      </c>
      <c r="J358" s="16">
        <f>IF(H358=0, 0, ROUND(SUM(H$3:H358)-SUM(G$3:G358),0))</f>
        <v>0</v>
      </c>
      <c r="K358" s="16" t="str">
        <f t="shared" si="17"/>
        <v/>
      </c>
      <c r="L358" s="15">
        <f>IF($F358&gt;=$B$14, 0, IF(LOWER(LEFT($B$2,1))="s", ($B$3-($F358)*($B$3/ROUND($B$4*12,0)+$B$10)),$B$3-($F358*$B$6-SUM(G$3:G358)+$B$10*$F358)))</f>
        <v>0</v>
      </c>
      <c r="M358" s="15">
        <f>IF(F358&gt;=ROUND($B$4*12,0),0,IF(LOWER(LEFT($B$2,1))="s", ($B$3-($B$3/ROUND($B$4*12,0))*F358),$B$3-(F358*$B$6-SUM(H$3:H358))))</f>
        <v>0</v>
      </c>
    </row>
    <row r="359" spans="1:13" x14ac:dyDescent="0.6">
      <c r="A359" s="4"/>
      <c r="B359" s="4"/>
      <c r="C359" s="4"/>
      <c r="D359" s="4"/>
      <c r="E359" s="23"/>
      <c r="F359" s="10">
        <v>357</v>
      </c>
      <c r="G359" s="11">
        <f>IF(F359&gt;$B$14, 0, IF(LOWER(LEFT($B$2,1))="s", ($B$3-($F359-1)*($B$3/ROUND($B$4*12,0)+$B$10))*($B$5/12),IF(F359=$B$14, ($B$3-((F359-1)*($B$10+$B$6)-SUM(G$3:G358)))*($B$5/12), ABS(IPMT($B$5/12,$F359,NPER($B$5/12,-ABS($B$6)-$B$10,$B$3,0),$B$3)))))</f>
        <v>0</v>
      </c>
      <c r="H359" s="12">
        <f t="shared" si="15"/>
        <v>0</v>
      </c>
      <c r="I359" s="11">
        <f t="shared" si="16"/>
        <v>0</v>
      </c>
      <c r="J359" s="12">
        <f>IF(H359=0, 0, ROUND(SUM(H$3:H359)-SUM(G$3:G359),0))</f>
        <v>0</v>
      </c>
      <c r="K359" s="12" t="str">
        <f t="shared" si="17"/>
        <v/>
      </c>
      <c r="L359" s="11">
        <f>IF($F359&gt;=$B$14, 0, IF(LOWER(LEFT($B$2,1))="s", ($B$3-($F359)*($B$3/ROUND($B$4*12,0)+$B$10)),$B$3-($F359*$B$6-SUM(G$3:G359)+$B$10*$F359)))</f>
        <v>0</v>
      </c>
      <c r="M359" s="11">
        <f>IF(F359&gt;=ROUND($B$4*12,0),0,IF(LOWER(LEFT($B$2,1))="s", ($B$3-($B$3/ROUND($B$4*12,0))*F359),$B$3-(F359*$B$6-SUM(H$3:H359))))</f>
        <v>0</v>
      </c>
    </row>
    <row r="360" spans="1:13" x14ac:dyDescent="0.6">
      <c r="A360" s="4"/>
      <c r="B360" s="4"/>
      <c r="C360" s="4"/>
      <c r="D360" s="4"/>
      <c r="E360" s="23"/>
      <c r="F360" s="14">
        <v>358</v>
      </c>
      <c r="G360" s="15">
        <f>IF(F360&gt;$B$14, 0, IF(LOWER(LEFT($B$2,1))="s", ($B$3-($F360-1)*($B$3/ROUND($B$4*12,0)+$B$10))*($B$5/12),IF(F360=$B$14, ($B$3-((F360-1)*($B$10+$B$6)-SUM(G$3:G359)))*($B$5/12), ABS(IPMT($B$5/12,$F360,NPER($B$5/12,-ABS($B$6)-$B$10,$B$3,0),$B$3)))))</f>
        <v>0</v>
      </c>
      <c r="H360" s="16">
        <f t="shared" si="15"/>
        <v>0</v>
      </c>
      <c r="I360" s="15">
        <f t="shared" si="16"/>
        <v>0</v>
      </c>
      <c r="J360" s="16">
        <f>IF(H360=0, 0, ROUND(SUM(H$3:H360)-SUM(G$3:G360),0))</f>
        <v>0</v>
      </c>
      <c r="K360" s="16" t="str">
        <f t="shared" si="17"/>
        <v/>
      </c>
      <c r="L360" s="15">
        <f>IF($F360&gt;=$B$14, 0, IF(LOWER(LEFT($B$2,1))="s", ($B$3-($F360)*($B$3/ROUND($B$4*12,0)+$B$10)),$B$3-($F360*$B$6-SUM(G$3:G360)+$B$10*$F360)))</f>
        <v>0</v>
      </c>
      <c r="M360" s="15">
        <f>IF(F360&gt;=ROUND($B$4*12,0),0,IF(LOWER(LEFT($B$2,1))="s", ($B$3-($B$3/ROUND($B$4*12,0))*F360),$B$3-(F360*$B$6-SUM(H$3:H360))))</f>
        <v>0</v>
      </c>
    </row>
    <row r="361" spans="1:13" x14ac:dyDescent="0.6">
      <c r="A361" s="4"/>
      <c r="B361" s="4"/>
      <c r="C361" s="4"/>
      <c r="D361" s="4"/>
      <c r="E361" s="23"/>
      <c r="F361" s="10">
        <v>359</v>
      </c>
      <c r="G361" s="11">
        <f>IF(F361&gt;$B$14, 0, IF(LOWER(LEFT($B$2,1))="s", ($B$3-($F361-1)*($B$3/ROUND($B$4*12,0)+$B$10))*($B$5/12),IF(F361=$B$14, ($B$3-((F361-1)*($B$10+$B$6)-SUM(G$3:G360)))*($B$5/12), ABS(IPMT($B$5/12,$F361,NPER($B$5/12,-ABS($B$6)-$B$10,$B$3,0),$B$3)))))</f>
        <v>0</v>
      </c>
      <c r="H361" s="12">
        <f t="shared" si="15"/>
        <v>0</v>
      </c>
      <c r="I361" s="11">
        <f t="shared" si="16"/>
        <v>0</v>
      </c>
      <c r="J361" s="12">
        <f>IF(H361=0, 0, ROUND(SUM(H$3:H361)-SUM(G$3:G361),0))</f>
        <v>0</v>
      </c>
      <c r="K361" s="12" t="str">
        <f t="shared" si="17"/>
        <v/>
      </c>
      <c r="L361" s="11">
        <f>IF($F361&gt;=$B$14, 0, IF(LOWER(LEFT($B$2,1))="s", ($B$3-($F361)*($B$3/ROUND($B$4*12,0)+$B$10)),$B$3-($F361*$B$6-SUM(G$3:G361)+$B$10*$F361)))</f>
        <v>0</v>
      </c>
      <c r="M361" s="11">
        <f>IF(F361&gt;=ROUND($B$4*12,0),0,IF(LOWER(LEFT($B$2,1))="s", ($B$3-($B$3/ROUND($B$4*12,0))*F361),$B$3-(F361*$B$6-SUM(H$3:H361))))</f>
        <v>0</v>
      </c>
    </row>
    <row r="362" spans="1:13" x14ac:dyDescent="0.6">
      <c r="A362" s="4"/>
      <c r="B362" s="4"/>
      <c r="C362" s="4"/>
      <c r="D362" s="4"/>
      <c r="E362" s="23" t="s">
        <v>53</v>
      </c>
      <c r="F362" s="14">
        <v>360</v>
      </c>
      <c r="G362" s="15">
        <f>IF(F362&gt;$B$14, 0, IF(LOWER(LEFT($B$2,1))="s", ($B$3-($F362-1)*($B$3/ROUND($B$4*12,0)+$B$10))*($B$5/12),IF(F362=$B$14, ($B$3-((F362-1)*($B$10+$B$6)-SUM(G$3:G361)))*($B$5/12), ABS(IPMT($B$5/12,$F362,NPER($B$5/12,-ABS($B$6)-$B$10,$B$3,0),$B$3)))))</f>
        <v>0</v>
      </c>
      <c r="H362" s="16">
        <f t="shared" si="15"/>
        <v>0</v>
      </c>
      <c r="I362" s="15">
        <f t="shared" si="16"/>
        <v>0</v>
      </c>
      <c r="J362" s="16">
        <f>IF(H362=0, 0, ROUND(SUM(H$3:H362)-SUM(G$3:G362),0))</f>
        <v>0</v>
      </c>
      <c r="K362" s="16" t="str">
        <f t="shared" si="17"/>
        <v/>
      </c>
      <c r="L362" s="15">
        <f>IF($F362&gt;=$B$14, 0, IF(LOWER(LEFT($B$2,1))="s", ($B$3-($F362)*($B$3/ROUND($B$4*12,0)+$B$10)),$B$3-($F362*$B$6-SUM(G$3:G362)+$B$10*$F362)))</f>
        <v>0</v>
      </c>
      <c r="M362" s="15">
        <f>IF(F362&gt;=ROUND($B$4*12,0),0,IF(LOWER(LEFT($B$2,1))="s", ($B$3-($B$3/ROUND($B$4*12,0))*F362),$B$3-(F362*$B$6-SUM(H$3:H362))))</f>
        <v>0</v>
      </c>
    </row>
    <row r="363" spans="1:13" x14ac:dyDescent="0.6">
      <c r="A363" s="4"/>
      <c r="B363" s="4"/>
      <c r="C363" s="4"/>
      <c r="D363" s="4"/>
      <c r="E363" s="23"/>
      <c r="F363" s="47"/>
      <c r="G363" s="48"/>
      <c r="H363" s="49"/>
      <c r="I363" s="49"/>
      <c r="J363" s="49"/>
      <c r="K363" s="49"/>
      <c r="L363" s="48"/>
      <c r="M363" s="49"/>
    </row>
    <row r="364" spans="1:13" x14ac:dyDescent="0.6">
      <c r="A364" s="4"/>
      <c r="B364" s="4"/>
      <c r="C364" s="4"/>
      <c r="D364" s="4"/>
      <c r="E364" s="23"/>
      <c r="F364" s="23"/>
      <c r="G364" s="50"/>
      <c r="H364" s="51"/>
      <c r="I364" s="51"/>
      <c r="J364" s="51"/>
      <c r="K364" s="51"/>
      <c r="L364" s="50"/>
      <c r="M364" s="51"/>
    </row>
    <row r="365" spans="1:13" x14ac:dyDescent="0.6">
      <c r="A365" s="52"/>
      <c r="B365" s="4"/>
      <c r="C365" s="4"/>
      <c r="D365" s="23"/>
      <c r="E365" s="47"/>
      <c r="F365" s="23"/>
      <c r="G365" s="23"/>
      <c r="H365" s="8"/>
      <c r="I365" s="53"/>
      <c r="J365" s="53"/>
      <c r="K365" s="53"/>
      <c r="L365" s="23"/>
      <c r="M365" s="53"/>
    </row>
    <row r="366" spans="1:13" x14ac:dyDescent="0.6">
      <c r="A366" s="54"/>
      <c r="B366" s="55"/>
      <c r="C366" s="55"/>
      <c r="D366" s="55"/>
      <c r="E366" s="23"/>
      <c r="F366" s="47"/>
      <c r="G366" s="49"/>
      <c r="H366" s="49"/>
      <c r="I366" s="49"/>
      <c r="J366" s="49"/>
      <c r="K366" s="49"/>
      <c r="L366" s="49"/>
      <c r="M366" s="49"/>
    </row>
  </sheetData>
  <mergeCells count="9">
    <mergeCell ref="K1:K2"/>
    <mergeCell ref="L1:L2"/>
    <mergeCell ref="M1:M2"/>
    <mergeCell ref="A41:B41"/>
    <mergeCell ref="F1:F2"/>
    <mergeCell ref="G1:G2"/>
    <mergeCell ref="H1:H2"/>
    <mergeCell ref="I1:I2"/>
    <mergeCell ref="J1:J2"/>
  </mergeCells>
  <dataValidations count="1">
    <dataValidation type="list" operator="equal" showErrorMessage="1" sqref="B2" xr:uid="{00000000-0002-0000-0000-000000000000}">
      <formula1>"Annuitetslån,Serielån"</formula1>
      <formula2>0</formula2>
    </dataValidation>
  </dataValidations>
  <pageMargins left="0.74791666666666701" right="0.74791666666666701" top="0.98402777777777795" bottom="0.98402777777777795" header="0.51180555555555496" footer="0.51180555555555496"/>
  <pageSetup paperSize="9" firstPageNumber="0" orientation="landscape" horizontalDpi="300" verticalDpi="300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L381"/>
  <sheetViews>
    <sheetView tabSelected="1" zoomScaleNormal="100" workbookViewId="0">
      <pane ySplit="16" topLeftCell="A17" activePane="bottomLeft" state="frozen"/>
      <selection pane="bottomLeft" activeCell="B18" sqref="B18"/>
    </sheetView>
  </sheetViews>
  <sheetFormatPr baseColWidth="10" defaultColWidth="8.86328125" defaultRowHeight="13" x14ac:dyDescent="0.6"/>
  <cols>
    <col min="1" max="1" width="15" customWidth="1"/>
    <col min="2" max="2" width="10.2265625" customWidth="1"/>
    <col min="3" max="3" width="7.76953125" customWidth="1"/>
    <col min="4" max="4" width="6.08984375" customWidth="1"/>
    <col min="5" max="5" width="5" customWidth="1"/>
    <col min="6" max="6" width="5.6796875" customWidth="1"/>
    <col min="7" max="8" width="5.08984375" customWidth="1"/>
    <col min="9" max="10" width="10.86328125" customWidth="1"/>
    <col min="11" max="11" width="11" customWidth="1"/>
    <col min="12" max="12" width="13.2265625" customWidth="1"/>
    <col min="13" max="13" width="10.31640625" customWidth="1"/>
    <col min="14" max="14" width="11.453125" customWidth="1"/>
    <col min="15" max="15" width="11.54296875" customWidth="1"/>
    <col min="16" max="20" width="12.2265625" customWidth="1"/>
    <col min="21" max="21" width="12.2265625" hidden="1" customWidth="1"/>
    <col min="22" max="22" width="14.2265625" customWidth="1"/>
    <col min="23" max="23" width="9.86328125" customWidth="1"/>
    <col min="24" max="25" width="11.453125" customWidth="1"/>
    <col min="26" max="26" width="12.76953125" customWidth="1"/>
    <col min="27" max="27" width="14.453125" customWidth="1"/>
    <col min="28" max="29" width="11.54296875" hidden="1"/>
    <col min="30" max="31" width="14.453125" customWidth="1"/>
    <col min="32" max="32" width="11" customWidth="1"/>
    <col min="33" max="34" width="12.31640625" hidden="1" customWidth="1"/>
    <col min="35" max="36" width="12.76953125" hidden="1" customWidth="1"/>
    <col min="37" max="38" width="13.31640625" hidden="1" customWidth="1"/>
    <col min="39" max="44" width="13.453125" hidden="1" customWidth="1"/>
    <col min="45" max="45" width="23.54296875" hidden="1" customWidth="1"/>
    <col min="46" max="46" width="87.08984375" hidden="1" customWidth="1"/>
    <col min="47" max="47" width="71.2265625" hidden="1" customWidth="1"/>
    <col min="48" max="264" width="11" customWidth="1"/>
    <col min="265" max="1025" width="11.54296875"/>
  </cols>
  <sheetData>
    <row r="1" spans="1:246" x14ac:dyDescent="0.6">
      <c r="A1" s="56" t="s">
        <v>54</v>
      </c>
      <c r="B1" s="4"/>
      <c r="C1" s="4"/>
      <c r="D1" s="4"/>
      <c r="E1" s="4"/>
      <c r="F1" s="4"/>
      <c r="G1" s="4"/>
      <c r="H1" s="4"/>
      <c r="I1" s="4"/>
      <c r="J1" s="57" t="s">
        <v>55</v>
      </c>
      <c r="K1" s="58"/>
      <c r="L1" s="58"/>
      <c r="M1" s="58"/>
      <c r="N1" s="58"/>
      <c r="O1" s="58"/>
      <c r="P1" s="58"/>
      <c r="Q1" s="58"/>
      <c r="R1" s="4"/>
      <c r="S1" s="4"/>
      <c r="T1" s="4"/>
      <c r="U1" s="51"/>
      <c r="V1" s="51"/>
      <c r="W1" s="4"/>
      <c r="X1" s="4"/>
      <c r="Y1" s="4"/>
      <c r="Z1" s="59"/>
      <c r="AA1" s="60"/>
      <c r="AB1" s="50"/>
      <c r="AC1" s="50"/>
      <c r="AD1" s="60"/>
      <c r="AE1" s="61"/>
      <c r="AF1" s="62"/>
      <c r="AG1" s="50"/>
      <c r="AH1" s="51"/>
      <c r="AI1" s="51"/>
      <c r="AJ1" s="51"/>
      <c r="AK1" s="51"/>
      <c r="AL1" s="51"/>
      <c r="AM1" s="51"/>
      <c r="AN1" s="51"/>
      <c r="AO1" s="63"/>
      <c r="AP1" s="63"/>
      <c r="AQ1" s="51"/>
      <c r="AR1" s="51"/>
      <c r="AS1" s="51"/>
      <c r="AT1" s="51"/>
      <c r="AU1" s="51"/>
    </row>
    <row r="2" spans="1:246" x14ac:dyDescent="0.6">
      <c r="A2" s="64" t="s">
        <v>9</v>
      </c>
      <c r="B2" s="4"/>
      <c r="C2" s="65"/>
      <c r="D2" s="66"/>
      <c r="E2" s="283" t="s">
        <v>143</v>
      </c>
      <c r="F2" s="283"/>
      <c r="G2" s="283"/>
      <c r="H2" s="284" t="s">
        <v>10</v>
      </c>
      <c r="I2" s="284"/>
      <c r="J2" s="67" t="s">
        <v>56</v>
      </c>
      <c r="K2" s="68"/>
      <c r="L2" s="4"/>
      <c r="M2" s="285" t="str">
        <f ca="1">IF(OR($L$377&gt;0,$Z$377&gt;0), "Feil: Nedbetalingstid", IF(COUNTIF(W18:W377,"&gt;0")&lt;$R$2,"- ","") &amp; INT(ABS(COUNTIF(W18:W377,"&gt;0")-$R$2)/12)&amp;" år og "&amp;ROUND(ABS(COUNTIF(W18:W377,"&gt;0")-$R$2)-INT(ABS(COUNTIF(W18:W377,"&gt;0")-$R$2)/12)*12,0)&amp;" måneder")</f>
        <v>0 år og 0 måneder</v>
      </c>
      <c r="N2" s="285"/>
      <c r="O2" s="69" t="s">
        <v>57</v>
      </c>
      <c r="P2" s="70" t="str">
        <f ca="1">IF($L$377&gt;0, "Feil: Nedbet.tid", IF($H$18&lt;=0,"før planens start",INDIRECT(ADDRESS(t2rTLn1-1+$R$2,t2kMnd))))</f>
        <v>Desember 2050</v>
      </c>
      <c r="Q2" s="71" t="s">
        <v>58</v>
      </c>
      <c r="R2" s="72">
        <f ca="1">IF($L$377&gt;0, "Feil: Nedbet.tid", COUNTIF(H18:H377,"&gt;0"))</f>
        <v>312</v>
      </c>
      <c r="S2" s="4"/>
      <c r="T2" s="4"/>
      <c r="U2" s="62"/>
      <c r="V2" s="62"/>
      <c r="W2" s="4"/>
      <c r="X2" s="4"/>
      <c r="Y2" s="4"/>
      <c r="Z2" s="8"/>
      <c r="AA2" s="60"/>
      <c r="AB2" s="62"/>
      <c r="AC2" s="62"/>
      <c r="AD2" s="60"/>
      <c r="AE2" s="61"/>
      <c r="AF2" s="62"/>
      <c r="AG2" s="62"/>
      <c r="AH2" s="62"/>
      <c r="AI2" s="62"/>
      <c r="AJ2" s="62"/>
      <c r="AK2" s="62"/>
      <c r="AL2" s="62"/>
      <c r="AM2" s="62"/>
      <c r="AN2" s="62"/>
      <c r="AO2" s="62"/>
      <c r="AP2" s="62"/>
      <c r="AQ2" s="51"/>
      <c r="AR2" s="51"/>
      <c r="AS2" s="51"/>
      <c r="AT2" s="51"/>
      <c r="AU2" s="51"/>
    </row>
    <row r="3" spans="1:246" x14ac:dyDescent="0.6">
      <c r="A3" s="64" t="s">
        <v>11</v>
      </c>
      <c r="B3" s="4"/>
      <c r="C3" s="65"/>
      <c r="D3" s="66"/>
      <c r="E3" s="286">
        <v>2559839</v>
      </c>
      <c r="F3" s="286"/>
      <c r="G3" s="286"/>
      <c r="H3" s="284" t="s">
        <v>10</v>
      </c>
      <c r="I3" s="284"/>
      <c r="J3" s="64" t="str">
        <f>"Sparte renter og gebyrer " &amp; IF(LOWER(LEFT($P$3,1))="j", "etter fradrag", "før fradrag") &amp; ":"</f>
        <v>Sparte renter og gebyrer etter fradrag:</v>
      </c>
      <c r="K3" s="40"/>
      <c r="L3" s="4"/>
      <c r="M3" s="287">
        <f ca="1">IF(OR($L$377&gt;0,$Z$377&gt;0), "Feil: Nedbetalingstid",ROUND($R$5-$M$5,6))</f>
        <v>0</v>
      </c>
      <c r="N3" s="287"/>
      <c r="O3" s="69" t="s">
        <v>59</v>
      </c>
      <c r="P3" s="73" t="s">
        <v>60</v>
      </c>
      <c r="Q3" s="71" t="s">
        <v>61</v>
      </c>
      <c r="R3" s="265">
        <f ca="1">INDIRECT(ADDRESS(t2rTLnN, t2kFradragPst))</f>
        <v>0.22</v>
      </c>
      <c r="S3" s="4"/>
      <c r="T3" s="4"/>
      <c r="U3" s="51"/>
      <c r="V3" s="51"/>
      <c r="W3" s="4"/>
      <c r="X3" s="4"/>
      <c r="Y3" s="4"/>
      <c r="Z3" s="58"/>
      <c r="AA3" s="60"/>
      <c r="AB3" s="50"/>
      <c r="AC3" s="50"/>
      <c r="AD3" s="60"/>
      <c r="AE3" s="61"/>
      <c r="AF3" s="62"/>
      <c r="AG3" s="50"/>
      <c r="AH3" s="51"/>
      <c r="AI3" s="51"/>
      <c r="AJ3" s="51"/>
      <c r="AK3" s="51"/>
      <c r="AL3" s="51"/>
      <c r="AM3" s="51"/>
      <c r="AN3" s="51"/>
      <c r="AO3" s="63"/>
      <c r="AP3" s="63"/>
      <c r="AQ3" s="51"/>
      <c r="AR3" s="51"/>
      <c r="AS3" s="51"/>
      <c r="AT3" s="51"/>
      <c r="AU3" s="51"/>
    </row>
    <row r="4" spans="1:246" x14ac:dyDescent="0.6">
      <c r="A4" s="64" t="s">
        <v>12</v>
      </c>
      <c r="B4" s="4"/>
      <c r="C4" s="65"/>
      <c r="D4" s="66"/>
      <c r="E4" s="288">
        <v>26</v>
      </c>
      <c r="F4" s="288"/>
      <c r="G4" s="288"/>
      <c r="H4" s="284" t="s">
        <v>10</v>
      </c>
      <c r="I4" s="284"/>
      <c r="J4" s="74" t="str">
        <f ca="1">"Besparelse inflasjonsjustert til " &amp; IF(OR($P$4&lt;1, $P$4&gt;t2xAntAr*12), "(Feil: Termin)", LOWER(INDIRECT(ADDRESS(t2rTLn1-1+$P$4,t2kMnd)))) &amp; ":"</f>
        <v>Besparelse inflasjonsjustert til januar 2025:</v>
      </c>
      <c r="K4" s="74"/>
      <c r="L4" s="74"/>
      <c r="M4" s="289">
        <f ca="1">IF(OR($L$377&gt;0,$Z$377&gt;0), "Feil: Nedbetalingstid", IF(OR($P$4&lt;1, $P$4&gt;t2xAntAr*12), "Feil: Termin", ROUNDDOWN(SUM(AH18:AH377)-SUM(AG18:AG377),0)))</f>
        <v>0</v>
      </c>
      <c r="N4" s="289"/>
      <c r="O4" s="71" t="s">
        <v>62</v>
      </c>
      <c r="P4" s="75">
        <f ca="1">R9</f>
        <v>1</v>
      </c>
      <c r="Q4" s="71" t="s">
        <v>63</v>
      </c>
      <c r="R4" s="268">
        <v>0.02</v>
      </c>
      <c r="S4" s="4"/>
      <c r="T4" s="4"/>
      <c r="U4" s="51"/>
      <c r="V4" s="51"/>
      <c r="W4" s="4"/>
      <c r="X4" s="4"/>
      <c r="Y4" s="4"/>
      <c r="Z4" s="8"/>
      <c r="AA4" s="60"/>
      <c r="AB4" s="50"/>
      <c r="AC4" s="50"/>
      <c r="AD4" s="60"/>
      <c r="AE4" s="61"/>
      <c r="AF4" s="62"/>
      <c r="AG4" s="50"/>
      <c r="AH4" s="51"/>
      <c r="AI4" s="51"/>
      <c r="AJ4" s="51"/>
      <c r="AK4" s="51"/>
      <c r="AL4" s="51"/>
      <c r="AM4" s="51"/>
      <c r="AN4" s="51"/>
      <c r="AO4" s="63"/>
      <c r="AP4" s="63"/>
      <c r="AQ4" s="51"/>
      <c r="AR4" s="51"/>
      <c r="AS4" s="51"/>
      <c r="AT4" s="51"/>
      <c r="AU4" s="51"/>
    </row>
    <row r="5" spans="1:246" x14ac:dyDescent="0.6">
      <c r="A5" s="64" t="s">
        <v>64</v>
      </c>
      <c r="B5" s="4"/>
      <c r="C5" s="65"/>
      <c r="D5" s="66"/>
      <c r="E5" s="290">
        <f ca="1">DATE(YEAR(TODAY()),1,1)</f>
        <v>45658</v>
      </c>
      <c r="F5" s="290"/>
      <c r="G5" s="290"/>
      <c r="H5" s="284" t="s">
        <v>10</v>
      </c>
      <c r="I5" s="284"/>
      <c r="J5" s="76" t="str">
        <f>"Sum renter og gebyrer " &amp; IF(LOWER(LEFT($P$3,1))="j", "etter fradrag", "før fradrag") &amp; ":"</f>
        <v>Sum renter og gebyrer etter fradrag:</v>
      </c>
      <c r="K5" s="77"/>
      <c r="L5" s="42"/>
      <c r="M5" s="289">
        <f ca="1">IF($L$377&gt;0, "Feil: Nedbetalingstid", SUM(INDIRECT(ADDRESS(t2rTLn1, t2kKost1EtterEvtFradrag) &amp; ":" &amp; ADDRESS(t2rTLnN, t2kKost1EtterEvtFradrag))) + $E$9 * (1-IF(LOWER(LEFT($P$3,1))="j", INDIRECT(ADDRESS(t2rTLn1, t2kFradragPst)), 0)) - $E$3)</f>
        <v>1441518.5662897532</v>
      </c>
      <c r="N5" s="289"/>
      <c r="O5" s="71" t="s">
        <v>65</v>
      </c>
      <c r="P5" s="266">
        <f ca="1">IF($L$377&gt;0, "Feil: Nedbet.tid", (1+IRR(INDIRECT(ADDRESS(t2rTLn1-1, t2kKS1) &amp; ":" &amp; ADDRESS(t2rTLn1-1+$R$2, t2kKS1)),0.1/12))^12-1)</f>
        <v>5.6694117196036897E-2</v>
      </c>
      <c r="Q5" s="71" t="s">
        <v>66</v>
      </c>
      <c r="R5" s="70">
        <f ca="1">IF($Z$377&gt;0, "Feil: Nedbet.tid", SUM(INDIRECT(ADDRESS(t2rTLn1, t2kKost2EtterEvtFradrag) &amp; ":" &amp; ADDRESS(t2rTLnN, t2kKost2EtterEvtFradrag))) + $E$9 * (1-IF(LOWER(LEFT($P$3,1))="j", INDIRECT(ADDRESS(t2rTLn1, t2kFradragPst)), 0)) - $E$3)</f>
        <v>1441518.5662897513</v>
      </c>
      <c r="S5" s="4"/>
      <c r="T5" s="4"/>
      <c r="U5" s="51"/>
      <c r="V5" s="51"/>
      <c r="W5" s="4"/>
      <c r="X5" s="4"/>
      <c r="Y5" s="4"/>
      <c r="Z5" s="8"/>
      <c r="AA5" s="60"/>
      <c r="AB5" s="50"/>
      <c r="AC5" s="50"/>
      <c r="AD5" s="60"/>
      <c r="AE5" s="61"/>
      <c r="AF5" s="62"/>
      <c r="AG5" s="50"/>
      <c r="AH5" s="51"/>
      <c r="AI5" s="51"/>
      <c r="AJ5" s="51"/>
      <c r="AK5" s="51"/>
      <c r="AL5" s="51"/>
      <c r="AM5" s="51"/>
      <c r="AN5" s="51"/>
      <c r="AO5" s="63"/>
      <c r="AP5" s="63"/>
      <c r="AQ5" s="51"/>
      <c r="AR5" s="51"/>
      <c r="AS5" s="51"/>
      <c r="AT5" s="51"/>
      <c r="AU5" s="51"/>
    </row>
    <row r="6" spans="1:246" x14ac:dyDescent="0.6">
      <c r="A6" s="78" t="s">
        <v>67</v>
      </c>
      <c r="B6" s="42"/>
      <c r="C6" s="79"/>
      <c r="D6" s="79"/>
      <c r="E6" s="291" t="s">
        <v>68</v>
      </c>
      <c r="F6" s="291"/>
      <c r="G6" s="291"/>
      <c r="H6" s="284" t="s">
        <v>10</v>
      </c>
      <c r="I6" s="284"/>
      <c r="J6" s="80" t="str">
        <f>"Endret skattereduksjon fra lånet mot året før:"</f>
        <v>Endret skattereduksjon fra lånet mot året før:</v>
      </c>
      <c r="K6" s="7"/>
      <c r="L6" s="7"/>
      <c r="M6" s="292">
        <f ca="1">IF(LOWER(LEFT($P$3,1))&lt;&gt;"j", "Fradrag er av", IF($L$377&gt;0, "Feil: Nedbetalingstid", IF(OR(t2vArTLn1=-1, t2vArTLnN=-1), 0, $R$6 * INDIRECT(ADDRESS(t2vArTLnN, t2kFradragPst))) - IF(OR(t2vArYTLn1=-1, t2vArYTLnN=-1), 0, (SUM(INDIRECT(ADDRESS(TEXT(t2vArYTLn1,0), t2kR1) &amp; ":" &amp;  ADDRESS(TEXT(t2vArYTLnN,0), t2kR1))) + SUM(INDIRECT(ADDRESS(TEXT(t2vArYTLn1,0), t2kTG1) &amp; ":" &amp; ADDRESS(TEXT(t2vArYTLnN,0), t2kTG1))) + IF($P$6-1=YEAR($E$5), $E$9, 0)) * INDIRECT(ADDRESS(t2vArYTLnN, t2kFradragPst)))))</f>
        <v>30502.071259528857</v>
      </c>
      <c r="N6" s="292"/>
      <c r="O6" s="6" t="s">
        <v>69</v>
      </c>
      <c r="P6" s="73">
        <f ca="1">YEAR(TODAY())</f>
        <v>2025</v>
      </c>
      <c r="Q6" s="71" t="s">
        <v>70</v>
      </c>
      <c r="R6" s="70">
        <f ca="1">IF($L$377&gt;0, "Feil: Nedbet.tid", IF(OR(t2vArTLn1=-1, t2vArTLnN=-1), 0, SUM(INDIRECT(ADDRESS(TEXT(t2vArTLn1,0), t2kR1) &amp; ":" &amp;  ADDRESS(TEXT(t2vArTLnN,0), t2kR1))) + SUM(INDIRECT(ADDRESS(TEXT(t2vArTLn1,0), t2kTG1) &amp; ":" &amp;  ADDRESS(TEXT(t2vArTLnN,0), t2kTG1))) + IF($P$6=YEAR($E$5), $E$9, 0)))</f>
        <v>138645.7784524039</v>
      </c>
      <c r="S6" s="4"/>
      <c r="T6" s="4"/>
      <c r="U6" s="51"/>
      <c r="V6" s="51"/>
      <c r="W6" s="4"/>
      <c r="X6" s="4"/>
      <c r="Y6" s="4"/>
      <c r="Z6" s="8"/>
      <c r="AA6" s="60"/>
      <c r="AB6" s="50"/>
      <c r="AC6" s="50"/>
      <c r="AD6" s="60"/>
      <c r="AE6" s="61"/>
      <c r="AF6" s="62"/>
      <c r="AG6" s="50"/>
      <c r="AH6" s="51"/>
      <c r="AI6" s="51"/>
      <c r="AJ6" s="51"/>
      <c r="AK6" s="51"/>
      <c r="AL6" s="51"/>
      <c r="AM6" s="51"/>
      <c r="AN6" s="51"/>
      <c r="AO6" s="63"/>
      <c r="AP6" s="63"/>
      <c r="AQ6" s="51"/>
      <c r="AR6" s="51"/>
      <c r="AS6" s="51"/>
      <c r="AT6" s="51"/>
      <c r="AU6" s="51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</row>
    <row r="7" spans="1:246" x14ac:dyDescent="0.6">
      <c r="A7" s="81" t="s">
        <v>71</v>
      </c>
      <c r="B7" s="81"/>
      <c r="C7" s="82"/>
      <c r="D7" s="81"/>
      <c r="E7" s="291" t="s">
        <v>82</v>
      </c>
      <c r="F7" s="291"/>
      <c r="G7" s="291"/>
      <c r="H7" s="79"/>
      <c r="I7" s="79"/>
      <c r="J7" s="81" t="str">
        <f>"Lån nedbetalt til " &amp; TEXT($P$7*100,0) &amp; " % av siste takst og fellesgjeld:"</f>
        <v>Lån nedbetalt til 60 % av siste takst og fellesgjeld:</v>
      </c>
      <c r="K7" s="81"/>
      <c r="L7" s="81"/>
      <c r="M7" s="293" t="str">
        <f ca="1">IF(INDIRECT(ADDRESS(t2rTLnN, t2kTakst))&lt;=0, "takst mangler", IF($E$3 &lt;= INT((INDIRECT(ADDRESS(t2rTLnN, t2kTakst))+INDIRECT(ADDRESS(t2rTLnN, t2kFGj)))*$P$7-INDIRECT(ADDRESS(t2rTLnN, t2kFGj))), "før planens start", IF(L377&gt;(INDIRECT(ADDRESS(t2rTLnN, t2kTakst))+INDIRECT(ADDRESS(t2rTLnN, t2kFGj)))*$P$7-INDIRECT(ADDRESS(t2rTLnN, t2kFGj)), "etter planens slutt", $AS$19)))</f>
        <v>før planens start</v>
      </c>
      <c r="N7" s="293"/>
      <c r="O7" s="71" t="s">
        <v>72</v>
      </c>
      <c r="P7" s="267">
        <v>0.6</v>
      </c>
      <c r="Q7" s="71" t="s">
        <v>73</v>
      </c>
      <c r="R7" s="70">
        <f ca="1">IF(INDIRECT(ADDRESS(t2rTLnN, t2kTakst))&lt;=0, "takst mangler", IF(OR($P$7&lt;0,$P$7&gt;1),"Feil: %-grense",IF(AND(INDIRECT(ADDRESS(t2rTLnN, t2kFGj))&gt;0, INDIRECT(ADDRESS(t2rTLnN, t2kFGj))/(INDIRECT(ADDRESS(t2rTLnN, t2kTakst))+INDIRECT(ADDRESS(t2rTLnN, t2kFGj)))&gt;$P$7), "fellesgj. for høy", INT((INDIRECT(ADDRESS(t2rTLnN, t2kTakst))+INDIRECT(ADDRESS(t2rTLnN, t2kFGj)))*$P$7-INDIRECT(ADDRESS(t2rTLnN, t2kFGj))))))</f>
        <v>3000000</v>
      </c>
      <c r="S7" s="4"/>
      <c r="T7" s="4"/>
      <c r="U7" s="51"/>
      <c r="V7" s="51"/>
      <c r="W7" s="4"/>
      <c r="X7" s="4"/>
      <c r="Y7" s="4"/>
      <c r="Z7" s="8"/>
      <c r="AA7" s="60"/>
      <c r="AB7" s="50"/>
      <c r="AC7" s="50"/>
      <c r="AD7" s="60"/>
      <c r="AE7" s="61"/>
      <c r="AF7" s="62"/>
      <c r="AG7" s="50"/>
      <c r="AH7" s="51"/>
      <c r="AI7" s="51"/>
      <c r="AJ7" s="51"/>
      <c r="AK7" s="51"/>
      <c r="AL7" s="51"/>
      <c r="AM7" s="51"/>
      <c r="AN7" s="51"/>
      <c r="AO7" s="63"/>
      <c r="AP7" s="63"/>
      <c r="AQ7" s="51"/>
      <c r="AR7" s="51"/>
      <c r="AS7" s="51"/>
      <c r="AT7" s="51"/>
      <c r="AU7" s="51"/>
      <c r="AW7" s="34"/>
      <c r="AX7" s="34"/>
      <c r="AY7" s="34"/>
      <c r="AZ7" s="34"/>
      <c r="BA7" s="34"/>
      <c r="BB7" s="34"/>
      <c r="BC7" s="34"/>
      <c r="BD7" s="34"/>
      <c r="BE7" s="34"/>
      <c r="BF7" s="34"/>
      <c r="BG7" s="34"/>
      <c r="BH7" s="34"/>
      <c r="BI7" s="34"/>
      <c r="BJ7" s="34"/>
      <c r="BK7" s="34"/>
      <c r="BL7" s="34"/>
      <c r="BM7" s="34"/>
      <c r="BN7" s="34"/>
      <c r="BO7" s="34"/>
      <c r="BP7" s="34"/>
      <c r="BQ7" s="34"/>
      <c r="BR7" s="34"/>
      <c r="BS7" s="34"/>
      <c r="BT7" s="34"/>
      <c r="BU7" s="34"/>
      <c r="BV7" s="34"/>
      <c r="BW7" s="34"/>
      <c r="BX7" s="34"/>
      <c r="BY7" s="34"/>
      <c r="BZ7" s="34"/>
      <c r="CA7" s="34"/>
      <c r="CB7" s="34"/>
      <c r="CC7" s="34"/>
      <c r="CD7" s="34"/>
      <c r="CE7" s="34"/>
      <c r="CF7" s="34"/>
      <c r="CG7" s="34"/>
      <c r="CH7" s="34"/>
      <c r="CI7" s="34"/>
      <c r="CJ7" s="34"/>
      <c r="CK7" s="34"/>
      <c r="CL7" s="34"/>
      <c r="CM7" s="34"/>
      <c r="CN7" s="34"/>
      <c r="CO7" s="34"/>
      <c r="CP7" s="34"/>
      <c r="CQ7" s="34"/>
      <c r="CR7" s="34"/>
      <c r="CS7" s="34"/>
      <c r="CT7" s="34"/>
      <c r="CU7" s="34"/>
      <c r="CV7" s="34"/>
      <c r="CW7" s="34"/>
      <c r="CX7" s="34"/>
      <c r="CY7" s="34"/>
      <c r="CZ7" s="34"/>
      <c r="DA7" s="34"/>
      <c r="DB7" s="34"/>
      <c r="DC7" s="34"/>
      <c r="DD7" s="34"/>
      <c r="DE7" s="34"/>
      <c r="DF7" s="34"/>
      <c r="DG7" s="34"/>
      <c r="DH7" s="34"/>
      <c r="DI7" s="34"/>
      <c r="DJ7" s="34"/>
      <c r="DK7" s="34"/>
      <c r="DL7" s="34"/>
      <c r="DM7" s="34"/>
      <c r="DN7" s="34"/>
      <c r="DO7" s="34"/>
      <c r="DP7" s="34"/>
      <c r="DQ7" s="34"/>
      <c r="DR7" s="34"/>
      <c r="DS7" s="34"/>
      <c r="DT7" s="34"/>
      <c r="DU7" s="34"/>
      <c r="DV7" s="34"/>
      <c r="DW7" s="34"/>
      <c r="DX7" s="34"/>
      <c r="DY7" s="34"/>
      <c r="DZ7" s="34"/>
      <c r="EA7" s="34"/>
      <c r="EB7" s="34"/>
      <c r="EC7" s="34"/>
      <c r="ED7" s="34"/>
      <c r="EE7" s="34"/>
      <c r="EF7" s="34"/>
      <c r="EG7" s="34"/>
      <c r="EH7" s="34"/>
      <c r="EI7" s="34"/>
      <c r="EJ7" s="34"/>
      <c r="EK7" s="34"/>
      <c r="EL7" s="34"/>
      <c r="EM7" s="34"/>
      <c r="EN7" s="34"/>
      <c r="EO7" s="34"/>
      <c r="EP7" s="34"/>
      <c r="EQ7" s="34"/>
      <c r="ER7" s="34"/>
      <c r="ES7" s="34"/>
      <c r="ET7" s="34"/>
      <c r="EU7" s="34"/>
      <c r="EV7" s="34"/>
      <c r="EW7" s="34"/>
      <c r="EX7" s="34"/>
      <c r="EY7" s="34"/>
      <c r="EZ7" s="34"/>
      <c r="FA7" s="34"/>
      <c r="FB7" s="34"/>
      <c r="FC7" s="34"/>
      <c r="FD7" s="34"/>
      <c r="FE7" s="34"/>
      <c r="FF7" s="34"/>
      <c r="FG7" s="34"/>
      <c r="FH7" s="34"/>
      <c r="FI7" s="34"/>
      <c r="FJ7" s="34"/>
      <c r="FK7" s="34"/>
      <c r="FL7" s="34"/>
      <c r="FM7" s="34"/>
      <c r="FN7" s="34"/>
      <c r="FO7" s="34"/>
      <c r="FP7" s="34"/>
      <c r="FQ7" s="34"/>
      <c r="FR7" s="34"/>
      <c r="FS7" s="34"/>
      <c r="FT7" s="34"/>
      <c r="FU7" s="34"/>
      <c r="FV7" s="34"/>
      <c r="FW7" s="34"/>
      <c r="FX7" s="34"/>
      <c r="FY7" s="34"/>
      <c r="FZ7" s="34"/>
      <c r="GA7" s="34"/>
      <c r="GB7" s="34"/>
      <c r="GC7" s="34"/>
      <c r="GD7" s="34"/>
      <c r="GE7" s="34"/>
      <c r="GF7" s="34"/>
      <c r="GG7" s="34"/>
      <c r="GH7" s="34"/>
      <c r="GI7" s="34"/>
      <c r="GJ7" s="34"/>
      <c r="GK7" s="34"/>
      <c r="GL7" s="34"/>
      <c r="GM7" s="34"/>
      <c r="GN7" s="34"/>
      <c r="GO7" s="34"/>
      <c r="GP7" s="34"/>
      <c r="GQ7" s="34"/>
      <c r="GR7" s="34"/>
      <c r="GS7" s="34"/>
      <c r="GT7" s="34"/>
      <c r="GU7" s="34"/>
      <c r="GV7" s="34"/>
      <c r="GW7" s="34"/>
      <c r="GX7" s="34"/>
      <c r="GY7" s="34"/>
      <c r="GZ7" s="34"/>
      <c r="HA7" s="34"/>
      <c r="HB7" s="34"/>
      <c r="HC7" s="34"/>
      <c r="HD7" s="34"/>
      <c r="HE7" s="34"/>
      <c r="HF7" s="34"/>
      <c r="HG7" s="34"/>
      <c r="HH7" s="34"/>
      <c r="HI7" s="34"/>
      <c r="HJ7" s="34"/>
      <c r="HK7" s="34"/>
      <c r="HL7" s="34"/>
      <c r="HM7" s="34"/>
      <c r="HN7" s="34"/>
      <c r="HO7" s="34"/>
      <c r="HP7" s="34"/>
      <c r="HQ7" s="34"/>
      <c r="HR7" s="34"/>
      <c r="HS7" s="34"/>
      <c r="HT7" s="34"/>
      <c r="HU7" s="34"/>
      <c r="HV7" s="34"/>
      <c r="HW7" s="34"/>
      <c r="HX7" s="34"/>
      <c r="HY7" s="34"/>
      <c r="HZ7" s="34"/>
      <c r="IA7" s="34"/>
      <c r="IB7" s="34"/>
      <c r="IC7" s="34"/>
      <c r="ID7" s="34"/>
      <c r="IE7" s="34"/>
      <c r="IF7" s="34"/>
      <c r="IG7" s="34"/>
      <c r="IH7" s="34"/>
      <c r="II7" s="34"/>
      <c r="IJ7" s="34"/>
      <c r="IK7" s="34"/>
      <c r="IL7" s="34"/>
    </row>
    <row r="8" spans="1:246" ht="13.4" customHeight="1" x14ac:dyDescent="0.6">
      <c r="A8" s="81" t="s">
        <v>74</v>
      </c>
      <c r="B8" s="81"/>
      <c r="C8" s="83"/>
      <c r="D8" s="84"/>
      <c r="E8" s="294" t="s">
        <v>75</v>
      </c>
      <c r="F8" s="294"/>
      <c r="G8" s="294"/>
      <c r="H8" s="85"/>
      <c r="I8" s="6"/>
      <c r="J8" s="81" t="s">
        <v>76</v>
      </c>
      <c r="K8" s="86"/>
      <c r="L8" s="81"/>
      <c r="M8" s="292">
        <f ca="1">IF($L$377&gt;0, "Feil: Nedbetalingstid", IF($R$2=0,"ingen terminer",IF(OR(OR($P$8&lt;1,$R$8&gt;$R$2),$R$8&lt;$P$8),"Feil: Termin (fra, til)",(SUM(INDIRECT(ADDRESS(t2rTLn1-1+$P$8, t2kTnb) &amp; ":" &amp; ADDRESS(t2rTLn1-1+$R$8,t2kTnb)))-(SUMIF(INDIRECT(ADDRESS(t2rTLn1-1+$P$8, t2kUAvd) &amp; ":" &amp; ADDRESS(t2rTLn1-1+$R$8,t2kUAvd)), "=x", INDIRECT(ADDRESS(t2rTLn1-1+$P$8, t2kTB1) &amp; ":" &amp; ADDRESS(t2rTLn1-1+$R$8,t2kTB1)))-SUMIF(INDIRECT(ADDRESS(t2rTLn1-1+$P$8, t2kUAvd) &amp; ":" &amp; ADDRESS(t2rTLn1-1+$R$8,t2kUAvd)), "=x", INDIRECT(ADDRESS(t2rTLn1-1+$P$8, t2kR1) &amp; ":" &amp; ADDRESS(t2rTLn1-1+$R$8,t2kR1)))))/($R$8-$P$8+1))))</f>
        <v>0</v>
      </c>
      <c r="N8" s="292"/>
      <c r="O8" s="71" t="s">
        <v>77</v>
      </c>
      <c r="P8" s="73">
        <v>1</v>
      </c>
      <c r="Q8" s="71" t="s">
        <v>78</v>
      </c>
      <c r="R8" s="75">
        <f ca="1">IF($L$377&gt;0, 1, IF(t2vDmErITbl, $R$9, $R$2-1))</f>
        <v>1</v>
      </c>
      <c r="S8" s="4"/>
      <c r="T8" s="4"/>
      <c r="U8" s="51"/>
      <c r="V8" s="51"/>
      <c r="W8" s="4"/>
      <c r="X8" s="4"/>
      <c r="Y8" s="4"/>
      <c r="Z8" s="8"/>
      <c r="AA8" s="60"/>
      <c r="AB8" s="50"/>
      <c r="AC8" s="50"/>
      <c r="AD8" s="60"/>
      <c r="AE8" s="61"/>
      <c r="AF8" s="62"/>
      <c r="AG8" s="50"/>
      <c r="AH8" s="51"/>
      <c r="AI8" s="51"/>
      <c r="AJ8" s="51"/>
      <c r="AK8" s="51"/>
      <c r="AL8" s="51"/>
      <c r="AM8" s="51"/>
      <c r="AN8" s="51"/>
      <c r="AO8" s="63"/>
      <c r="AP8" s="63"/>
      <c r="AQ8" s="51"/>
      <c r="AR8" s="51"/>
      <c r="AS8" s="51"/>
      <c r="AT8" s="51"/>
      <c r="AU8" s="51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</row>
    <row r="9" spans="1:246" x14ac:dyDescent="0.6">
      <c r="A9" s="78" t="s">
        <v>79</v>
      </c>
      <c r="B9" s="42"/>
      <c r="C9" s="79"/>
      <c r="D9" s="79"/>
      <c r="E9" s="291">
        <v>0</v>
      </c>
      <c r="F9" s="291"/>
      <c r="G9" s="291"/>
      <c r="H9" s="79"/>
      <c r="I9" s="71"/>
      <c r="J9" s="87" t="str">
        <f ca="1">"Samlet innbetaling for måneden " &amp; IF(OR($P$9&lt;1, $P$9&gt;$R$2), "(Feil: Termin)", LOWER(INDIRECT(ADDRESS(t2rTLn1-1+$P$9,t2kMnd)))) &amp; ":"</f>
        <v>Samlet innbetaling for måneden januar 2025:</v>
      </c>
      <c r="K9" s="7"/>
      <c r="L9" s="7"/>
      <c r="M9" s="292">
        <f ca="1">IF(OR($P$9&lt;1, $P$9&gt;$R$2), "(Feil: Termin)", INDIRECT(ADDRESS(t2rTLn1-1+$P$9,t2kTnb)) + INDIRECT(ADDRESS(t2rTLn1-1+$P$9,t2kTG)) + INDIRECT(ADDRESS(t2rTLn1-1+$P$9,t2kR1)) + INDIRECT(ADDRESS(t2rTLn1-1+$P$9,t2kAvd1)))</f>
        <v>19964.875604487177</v>
      </c>
      <c r="N9" s="292"/>
      <c r="O9" s="71" t="s">
        <v>80</v>
      </c>
      <c r="P9" s="75">
        <f ca="1">R9</f>
        <v>1</v>
      </c>
      <c r="Q9" s="71" t="s">
        <v>81</v>
      </c>
      <c r="R9" s="88">
        <f ca="1">IF(t2vDmErITbl, (YEAR(TODAY())*12+MONTH(TODAY())) - (YEAR($E$5)*12+MONTH($E$5)) + 1, 1)</f>
        <v>1</v>
      </c>
      <c r="S9" s="4"/>
      <c r="T9" s="4"/>
      <c r="U9" s="51"/>
      <c r="V9" s="51"/>
      <c r="W9" s="4"/>
      <c r="X9" s="4"/>
      <c r="Y9" s="4"/>
      <c r="Z9" s="8"/>
      <c r="AA9" s="60"/>
      <c r="AB9" s="50"/>
      <c r="AC9" s="50"/>
      <c r="AD9" s="60"/>
      <c r="AE9" s="61"/>
      <c r="AF9" s="62"/>
      <c r="AG9" s="50"/>
      <c r="AH9" s="51"/>
      <c r="AI9" s="51"/>
      <c r="AJ9" s="51"/>
      <c r="AK9" s="51"/>
      <c r="AL9" s="51"/>
      <c r="AM9" s="51"/>
      <c r="AN9" s="51"/>
      <c r="AO9" s="63"/>
      <c r="AP9" s="63"/>
      <c r="AQ9" s="51"/>
      <c r="AR9" s="51"/>
      <c r="AS9" s="51"/>
      <c r="AT9" s="51"/>
      <c r="AU9" s="51"/>
    </row>
    <row r="10" spans="1:246" x14ac:dyDescent="0.6">
      <c r="A10" s="78" t="str">
        <f>"Estimer med " &amp; FIXED(t2xStdRPst*100, 2, FALSE()) &amp; " % rente " &amp; TEXT(t2xStdRAntMnd,0) &amp; " måneder fra nå:"</f>
        <v>Estimer med 5,00 % rente 48 måneder fra nå:</v>
      </c>
      <c r="B10" s="42"/>
      <c r="C10" s="79"/>
      <c r="D10" s="79"/>
      <c r="E10" s="291" t="s">
        <v>82</v>
      </c>
      <c r="F10" s="291"/>
      <c r="G10" s="291"/>
      <c r="H10" s="79"/>
      <c r="I10" s="71"/>
      <c r="J10" s="81" t="str">
        <f>"Gjeldsgrad " &amp; FIXED(SUM($P$10), 2, TRUE()) &amp; " for all gjeld i forhold til all inntekt:"</f>
        <v>Gjeldsgrad 3,00 for all gjeld i forhold til all inntekt:</v>
      </c>
      <c r="K10" s="87"/>
      <c r="L10" s="87"/>
      <c r="M10" s="293" t="str">
        <f ca="1">IF(COUNTIF(INDIRECT(ADDRESS(t2rTLn1 - 1, t2kGjeldsgrad) &amp; ":" &amp; ADDRESS(t2rTLnN, t2kGjeldsgrad)), "=Inntekt mangler") = t2rTLnN - t2rTLn1 + 2, "Fyll ut inntekt", IF(t2vDmErPostTabell, IF(AND(ISNUMBER(INDIRECT(ADDRESS(t2rTLnN, t2kGjeldsgrad))), SUM(INDIRECT(ADDRESS(t2rTLnN, t2kGjeldsgrad))) &gt; SUM($P$10)), "etter planens slutt", IF(t2rGjeldsgradTreff = 0, "før planens start", INDIRECT(ADDRESS(t2rGjeldsgradTreff, t2kMnd)))), IF(t2vDmErPreTabell, IF(AND(ISNUMBER(INDIRECT(ADDRESS(t2rTLn1 - 1, t2kGjeldsgrad))), SUM(INDIRECT(ADDRESS(t2rTLn1 - 1, t2kGjeldsgrad))) &lt;= SUM($P$10)), "før planens start", IF(t2rGjeldsgradTreff = 0, "etter planens slutt", INDIRECT(ADDRESS(t2rGjeldsgradTreff, t2kMnd)))), IF(t2vHarDmGjeldsgradtallITabellenLavereEllerLikMalet, IF(t2rGjeldsgradTreff = 0, "før planens start", INDIRECT(ADDRESS(t2rGjeldsgradTreff, t2kMnd))), IF(t2rGjeldsgradTreff = 0, "etter planens slutt", INDIRECT(ADDRESS(t2rGjeldsgradTreff, t2kMnd)))))))</f>
        <v>Juli 2035</v>
      </c>
      <c r="N10" s="293"/>
      <c r="O10" s="71" t="s">
        <v>83</v>
      </c>
      <c r="P10" s="89">
        <v>3</v>
      </c>
      <c r="Q10" s="71" t="s">
        <v>84</v>
      </c>
      <c r="R10" s="90">
        <f ca="1">IF(t2vDmErPreTabell, INDIRECT(ADDRESS(t2rTLn1-1, t2kGjeldsgrad)), IF(t2vDmErPostTabell, INDIRECT(ADDRESS(t2rTLnN, t2kGjeldsgrad)), INDIRECT(ADDRESS(t2rDenneManed, t2kGjeldsgrad))))</f>
        <v>4.6399999999999997</v>
      </c>
      <c r="S10" s="4"/>
      <c r="T10" s="4"/>
      <c r="U10" s="51"/>
      <c r="V10" s="51"/>
      <c r="W10" s="4"/>
      <c r="X10" s="4"/>
      <c r="Y10" s="4"/>
      <c r="Z10" s="8"/>
      <c r="AA10" s="60"/>
      <c r="AB10" s="50"/>
      <c r="AC10" s="50"/>
      <c r="AD10" s="60"/>
      <c r="AE10" s="61"/>
      <c r="AF10" s="62"/>
      <c r="AG10" s="50"/>
      <c r="AH10" s="51"/>
      <c r="AI10" s="51"/>
      <c r="AJ10" s="51"/>
      <c r="AK10" s="51"/>
      <c r="AL10" s="51"/>
      <c r="AM10" s="51"/>
      <c r="AN10" s="51"/>
      <c r="AO10" s="63"/>
      <c r="AP10" s="63"/>
      <c r="AQ10" s="51"/>
      <c r="AR10" s="51"/>
      <c r="AS10" s="51"/>
      <c r="AT10" s="51"/>
      <c r="AU10" s="51"/>
    </row>
    <row r="11" spans="1:246" x14ac:dyDescent="0.6">
      <c r="A11" s="79"/>
      <c r="B11" s="79"/>
      <c r="C11" s="79"/>
      <c r="D11" s="79"/>
      <c r="E11" s="79"/>
      <c r="F11" s="79"/>
      <c r="G11" s="79"/>
      <c r="H11" s="4"/>
      <c r="I11" s="79"/>
      <c r="J11" s="87"/>
      <c r="K11" s="87"/>
      <c r="L11" s="87"/>
      <c r="M11" s="87" t="s">
        <v>144</v>
      </c>
      <c r="N11" s="87"/>
      <c r="O11" s="87" t="s">
        <v>145</v>
      </c>
      <c r="P11" s="87"/>
      <c r="Q11" s="87"/>
      <c r="R11" s="87"/>
      <c r="S11" s="87"/>
      <c r="T11" s="87"/>
      <c r="U11" s="51"/>
      <c r="V11" s="51"/>
      <c r="W11" s="4"/>
      <c r="X11" s="4"/>
      <c r="Y11" s="4"/>
      <c r="Z11" s="8"/>
      <c r="AA11" s="60"/>
      <c r="AB11" s="91"/>
      <c r="AC11" s="91"/>
      <c r="AD11" s="60"/>
      <c r="AE11" s="61"/>
      <c r="AF11" s="65"/>
      <c r="AG11" s="91"/>
      <c r="AH11" s="51"/>
      <c r="AI11" s="51"/>
      <c r="AJ11" s="51"/>
      <c r="AK11" s="51"/>
      <c r="AL11" s="51"/>
      <c r="AM11" s="51"/>
      <c r="AN11" s="51"/>
      <c r="AO11" s="63"/>
      <c r="AP11" s="63"/>
      <c r="AQ11" s="51"/>
      <c r="AR11" s="51"/>
      <c r="AS11" s="51"/>
      <c r="AT11" s="51"/>
      <c r="AU11" s="51"/>
    </row>
    <row r="12" spans="1:246" ht="13.4" customHeight="1" x14ac:dyDescent="0.6">
      <c r="A12" s="92" t="s">
        <v>85</v>
      </c>
      <c r="B12" s="4"/>
      <c r="C12" s="4"/>
      <c r="D12" s="4"/>
      <c r="E12" s="4"/>
      <c r="F12" s="4"/>
      <c r="G12" s="4"/>
      <c r="H12" s="4"/>
      <c r="I12" s="4"/>
      <c r="J12" s="71"/>
      <c r="K12" s="40"/>
      <c r="L12" s="4"/>
      <c r="M12" s="93"/>
      <c r="N12" s="94"/>
      <c r="O12" s="50"/>
      <c r="P12" s="71"/>
      <c r="Q12" s="95"/>
      <c r="R12" s="87"/>
      <c r="S12" s="87"/>
      <c r="T12" s="95"/>
      <c r="U12" s="51"/>
      <c r="V12" s="51"/>
      <c r="W12" s="4"/>
      <c r="X12" s="4"/>
      <c r="Y12" s="4"/>
      <c r="Z12" s="8"/>
      <c r="AA12" s="295"/>
      <c r="AB12" s="50"/>
      <c r="AC12" s="50"/>
      <c r="AD12" s="295"/>
      <c r="AE12" s="96"/>
      <c r="AF12" s="62"/>
      <c r="AG12" s="50"/>
      <c r="AH12" s="51"/>
      <c r="AI12" s="51"/>
      <c r="AJ12" s="51"/>
      <c r="AK12" s="51"/>
      <c r="AL12" s="51"/>
      <c r="AM12" s="51"/>
      <c r="AN12" s="51"/>
      <c r="AO12" s="63"/>
      <c r="AP12" s="63"/>
      <c r="AQ12" s="51"/>
      <c r="AR12" s="51"/>
      <c r="AS12" s="51"/>
      <c r="AT12" s="51"/>
      <c r="AU12" s="51"/>
    </row>
    <row r="13" spans="1:246" ht="14.15" customHeight="1" x14ac:dyDescent="0.6">
      <c r="A13" s="97" t="str">
        <f>"Ark to er tilpasset flytende rente og månedlige avdrag. Maks nedbetalingstid er " &amp; TEXT(t2xAntAr,0) &amp; " år. Korriger planen med tall fra banken for redusert avvik. Bruk perioder med lav rente til å legge grunnlaget for besparelser ved fremtidige renteøkninger."</f>
        <v>Ark to er tilpasset flytende rente og månedlige avdrag. Maks nedbetalingstid er 30 år. Korriger planen med tall fra banken for redusert avvik. Bruk perioder med lav rente til å legge grunnlaget for besparelser ved fremtidige renteøkninger.</v>
      </c>
      <c r="B13" s="98"/>
      <c r="C13" s="98"/>
      <c r="D13" s="99"/>
      <c r="E13" s="99"/>
      <c r="F13" s="99"/>
      <c r="G13" s="99"/>
      <c r="H13" s="99"/>
      <c r="I13" s="100"/>
      <c r="J13" s="101"/>
      <c r="K13" s="102"/>
      <c r="L13" s="102"/>
      <c r="M13" s="103"/>
      <c r="N13" s="104"/>
      <c r="O13" s="104"/>
      <c r="P13" s="101"/>
      <c r="Q13" s="105"/>
      <c r="R13" s="87"/>
      <c r="S13" s="87"/>
      <c r="T13" s="105"/>
      <c r="U13" s="106"/>
      <c r="V13" s="106"/>
      <c r="W13" s="107"/>
      <c r="X13" s="108"/>
      <c r="Y13" s="107"/>
      <c r="Z13" s="109"/>
      <c r="AA13" s="295"/>
      <c r="AB13" s="104"/>
      <c r="AC13" s="104"/>
      <c r="AD13" s="295"/>
      <c r="AE13" s="110"/>
      <c r="AF13" s="111"/>
      <c r="AG13" s="104"/>
      <c r="AH13" s="106"/>
      <c r="AI13" s="106"/>
      <c r="AJ13" s="106"/>
      <c r="AK13" s="106"/>
      <c r="AL13" s="106"/>
      <c r="AM13" s="106"/>
      <c r="AN13" s="106"/>
      <c r="AO13" s="112"/>
      <c r="AP13" s="112"/>
      <c r="AQ13" s="106"/>
      <c r="AR13" s="106"/>
      <c r="AS13" s="106"/>
      <c r="AT13" s="51"/>
      <c r="AU13" s="51"/>
      <c r="AW13" s="34"/>
      <c r="AX13" s="34"/>
      <c r="AY13" s="34"/>
      <c r="AZ13" s="34"/>
      <c r="BA13" s="34"/>
      <c r="BB13" s="34"/>
      <c r="BC13" s="34"/>
      <c r="BD13" s="34"/>
      <c r="BE13" s="34"/>
      <c r="BF13" s="34"/>
      <c r="BG13" s="34"/>
      <c r="BH13" s="34"/>
      <c r="BI13" s="34"/>
      <c r="BJ13" s="34"/>
      <c r="BK13" s="34"/>
      <c r="BL13" s="34"/>
      <c r="BM13" s="34"/>
      <c r="BN13" s="34"/>
      <c r="BO13" s="34"/>
      <c r="BP13" s="34"/>
      <c r="BQ13" s="34"/>
      <c r="BR13" s="34"/>
      <c r="BS13" s="34"/>
      <c r="BT13" s="34"/>
      <c r="BU13" s="34"/>
      <c r="BV13" s="34"/>
      <c r="BW13" s="34"/>
      <c r="BX13" s="34"/>
      <c r="BY13" s="34"/>
      <c r="BZ13" s="34"/>
      <c r="CA13" s="34"/>
      <c r="CB13" s="34"/>
      <c r="CC13" s="34"/>
      <c r="CD13" s="34"/>
      <c r="CE13" s="34"/>
      <c r="CF13" s="34"/>
      <c r="CG13" s="34"/>
      <c r="CH13" s="34"/>
      <c r="CI13" s="34"/>
      <c r="CJ13" s="34"/>
      <c r="CK13" s="34"/>
      <c r="CL13" s="34"/>
      <c r="CM13" s="34"/>
      <c r="CN13" s="34"/>
      <c r="CO13" s="34"/>
      <c r="CP13" s="34"/>
      <c r="CQ13" s="34"/>
      <c r="CR13" s="34"/>
      <c r="CS13" s="34"/>
      <c r="CT13" s="34"/>
      <c r="CU13" s="34"/>
      <c r="CV13" s="34"/>
      <c r="CW13" s="34"/>
      <c r="CX13" s="34"/>
      <c r="CY13" s="34"/>
      <c r="CZ13" s="34"/>
      <c r="DA13" s="34"/>
      <c r="DB13" s="34"/>
      <c r="DC13" s="34"/>
      <c r="DD13" s="34"/>
      <c r="DE13" s="34"/>
      <c r="DF13" s="34"/>
      <c r="DG13" s="34"/>
      <c r="DH13" s="34"/>
      <c r="DI13" s="34"/>
      <c r="DJ13" s="34"/>
      <c r="DK13" s="34"/>
      <c r="DL13" s="34"/>
      <c r="DM13" s="34"/>
      <c r="DN13" s="34"/>
      <c r="DO13" s="34"/>
      <c r="DP13" s="34"/>
      <c r="DQ13" s="34"/>
      <c r="DR13" s="34"/>
      <c r="DS13" s="34"/>
      <c r="DT13" s="34"/>
      <c r="DU13" s="34"/>
      <c r="DV13" s="34"/>
      <c r="DW13" s="34"/>
      <c r="DX13" s="34"/>
      <c r="DY13" s="34"/>
      <c r="DZ13" s="34"/>
      <c r="EA13" s="34"/>
      <c r="EB13" s="34"/>
      <c r="EC13" s="34"/>
      <c r="ED13" s="34"/>
      <c r="EE13" s="34"/>
      <c r="EF13" s="34"/>
      <c r="EG13" s="34"/>
      <c r="EH13" s="34"/>
      <c r="EI13" s="34"/>
      <c r="EJ13" s="34"/>
      <c r="EK13" s="34"/>
      <c r="EL13" s="34"/>
      <c r="EM13" s="34"/>
      <c r="EN13" s="34"/>
      <c r="EO13" s="34"/>
      <c r="EP13" s="34"/>
      <c r="EQ13" s="34"/>
      <c r="ER13" s="34"/>
      <c r="ES13" s="34"/>
      <c r="ET13" s="34"/>
      <c r="EU13" s="34"/>
      <c r="EV13" s="34"/>
      <c r="EW13" s="34"/>
      <c r="EX13" s="34"/>
      <c r="EY13" s="34"/>
      <c r="EZ13" s="34"/>
      <c r="FA13" s="34"/>
      <c r="FB13" s="34"/>
      <c r="FC13" s="34"/>
      <c r="FD13" s="34"/>
      <c r="FE13" s="34"/>
      <c r="FF13" s="34"/>
      <c r="FG13" s="34"/>
      <c r="FH13" s="34"/>
      <c r="FI13" s="34"/>
      <c r="FJ13" s="34"/>
      <c r="FK13" s="34"/>
      <c r="FL13" s="34"/>
      <c r="FM13" s="34"/>
      <c r="FN13" s="34"/>
      <c r="FO13" s="34"/>
      <c r="FP13" s="34"/>
      <c r="FQ13" s="34"/>
      <c r="FR13" s="34"/>
      <c r="FS13" s="34"/>
      <c r="FT13" s="34"/>
      <c r="FU13" s="34"/>
      <c r="FV13" s="34"/>
      <c r="FW13" s="34"/>
      <c r="FX13" s="34"/>
      <c r="FY13" s="34"/>
      <c r="FZ13" s="34"/>
      <c r="GA13" s="34"/>
      <c r="GB13" s="34"/>
      <c r="GC13" s="34"/>
      <c r="GD13" s="34"/>
      <c r="GE13" s="34"/>
      <c r="GF13" s="34"/>
      <c r="GG13" s="34"/>
      <c r="GH13" s="34"/>
      <c r="GI13" s="34"/>
      <c r="GJ13" s="34"/>
      <c r="GK13" s="34"/>
      <c r="GL13" s="34"/>
      <c r="GM13" s="34"/>
      <c r="GN13" s="34"/>
      <c r="GO13" s="34"/>
      <c r="GP13" s="34"/>
      <c r="GQ13" s="34"/>
      <c r="GR13" s="34"/>
      <c r="GS13" s="34"/>
      <c r="GT13" s="34"/>
      <c r="GU13" s="34"/>
      <c r="GV13" s="34"/>
      <c r="GW13" s="34"/>
      <c r="GX13" s="34"/>
      <c r="GY13" s="34"/>
      <c r="GZ13" s="34"/>
      <c r="HA13" s="34"/>
      <c r="HB13" s="34"/>
      <c r="HC13" s="34"/>
      <c r="HD13" s="34"/>
      <c r="HE13" s="34"/>
      <c r="HF13" s="34"/>
      <c r="HG13" s="34"/>
      <c r="HH13" s="34"/>
      <c r="HI13" s="34"/>
      <c r="HJ13" s="34"/>
      <c r="HK13" s="34"/>
      <c r="HL13" s="34"/>
      <c r="HM13" s="34"/>
      <c r="HN13" s="34"/>
      <c r="HO13" s="34"/>
      <c r="HP13" s="34"/>
      <c r="HQ13" s="34"/>
      <c r="HR13" s="34"/>
      <c r="HS13" s="34"/>
      <c r="HT13" s="34"/>
      <c r="HU13" s="34"/>
      <c r="HV13" s="34"/>
      <c r="HW13" s="34"/>
      <c r="HX13" s="34"/>
      <c r="HY13" s="34"/>
      <c r="HZ13" s="34"/>
      <c r="IA13" s="34"/>
      <c r="IB13" s="34"/>
      <c r="IC13" s="34"/>
      <c r="ID13" s="34"/>
      <c r="IE13" s="34"/>
      <c r="IF13" s="34"/>
      <c r="IG13" s="34"/>
      <c r="IH13" s="34"/>
      <c r="II13" s="34"/>
      <c r="IJ13" s="34"/>
      <c r="IK13" s="34"/>
      <c r="IL13" s="34"/>
    </row>
    <row r="14" spans="1:246" ht="14.15" customHeight="1" x14ac:dyDescent="0.6">
      <c r="A14" s="113"/>
      <c r="B14" s="114"/>
      <c r="C14" s="115"/>
      <c r="D14" s="116"/>
      <c r="E14" s="113"/>
      <c r="F14" s="117"/>
      <c r="G14" s="118"/>
      <c r="H14" s="296" t="s">
        <v>86</v>
      </c>
      <c r="I14" s="296"/>
      <c r="J14" s="296"/>
      <c r="K14" s="296"/>
      <c r="L14" s="296"/>
      <c r="M14" s="119"/>
      <c r="N14" s="120"/>
      <c r="O14" s="120"/>
      <c r="P14" s="120"/>
      <c r="Q14" s="121"/>
      <c r="R14" s="122"/>
      <c r="S14" s="123"/>
      <c r="T14" s="124"/>
      <c r="U14" s="125"/>
      <c r="V14" s="126"/>
      <c r="W14" s="297" t="s">
        <v>87</v>
      </c>
      <c r="X14" s="297"/>
      <c r="Y14" s="297"/>
      <c r="Z14" s="297"/>
      <c r="AA14" s="298" t="s">
        <v>88</v>
      </c>
      <c r="AB14" s="298"/>
      <c r="AC14" s="298"/>
      <c r="AD14" s="298"/>
      <c r="AE14" s="298"/>
      <c r="AF14" s="298"/>
      <c r="AG14" s="298"/>
      <c r="AH14" s="298"/>
      <c r="AI14" s="299" t="s">
        <v>89</v>
      </c>
      <c r="AJ14" s="299"/>
      <c r="AK14" s="120" t="s">
        <v>90</v>
      </c>
      <c r="AL14" s="300" t="s">
        <v>91</v>
      </c>
      <c r="AM14" s="300"/>
      <c r="AN14" s="300"/>
      <c r="AO14" s="300"/>
      <c r="AP14" s="300"/>
      <c r="AQ14" s="300"/>
      <c r="AR14" s="300"/>
      <c r="AS14" s="300"/>
      <c r="AT14" s="299"/>
      <c r="AU14" s="299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  <c r="IJ14" s="34"/>
      <c r="IK14" s="34"/>
      <c r="IL14" s="34"/>
    </row>
    <row r="15" spans="1:246" ht="26.9" customHeight="1" x14ac:dyDescent="0.6">
      <c r="A15" s="129"/>
      <c r="B15" s="130"/>
      <c r="C15" s="131"/>
      <c r="D15" s="301" t="s">
        <v>92</v>
      </c>
      <c r="E15" s="302" t="s">
        <v>93</v>
      </c>
      <c r="F15" s="303" t="s">
        <v>94</v>
      </c>
      <c r="G15" s="304" t="s">
        <v>1</v>
      </c>
      <c r="H15" s="305" t="s">
        <v>95</v>
      </c>
      <c r="I15" s="306" t="s">
        <v>96</v>
      </c>
      <c r="J15" s="132"/>
      <c r="K15" s="133"/>
      <c r="L15" s="133"/>
      <c r="M15" s="307" t="s">
        <v>4</v>
      </c>
      <c r="N15" s="308" t="s">
        <v>5</v>
      </c>
      <c r="O15" s="308" t="s">
        <v>97</v>
      </c>
      <c r="P15" s="308" t="s">
        <v>98</v>
      </c>
      <c r="Q15" s="309" t="s">
        <v>99</v>
      </c>
      <c r="R15" s="309"/>
      <c r="S15" s="310" t="s">
        <v>100</v>
      </c>
      <c r="T15" s="310" t="s">
        <v>101</v>
      </c>
      <c r="U15" s="311" t="s">
        <v>102</v>
      </c>
      <c r="V15" s="308" t="s">
        <v>103</v>
      </c>
      <c r="W15" s="135"/>
      <c r="X15" s="312" t="s">
        <v>96</v>
      </c>
      <c r="Y15" s="132"/>
      <c r="Z15" s="132"/>
      <c r="AA15" s="313" t="s">
        <v>104</v>
      </c>
      <c r="AB15" s="314" t="s">
        <v>105</v>
      </c>
      <c r="AC15" s="311" t="s">
        <v>106</v>
      </c>
      <c r="AD15" s="315" t="s">
        <v>107</v>
      </c>
      <c r="AE15" s="315"/>
      <c r="AF15" s="315"/>
      <c r="AG15" s="315"/>
      <c r="AH15" s="315"/>
      <c r="AI15" s="127" t="s">
        <v>108</v>
      </c>
      <c r="AJ15" s="312" t="s">
        <v>109</v>
      </c>
      <c r="AK15" s="311" t="s">
        <v>108</v>
      </c>
      <c r="AL15" s="300"/>
      <c r="AM15" s="300"/>
      <c r="AN15" s="300"/>
      <c r="AO15" s="300"/>
      <c r="AP15" s="300"/>
      <c r="AQ15" s="300"/>
      <c r="AR15" s="300"/>
      <c r="AS15" s="300"/>
      <c r="AT15" s="299"/>
      <c r="AU15" s="299"/>
      <c r="AW15" s="138"/>
      <c r="AX15" s="138"/>
      <c r="AY15" s="138"/>
      <c r="AZ15" s="138"/>
      <c r="BA15" s="138"/>
      <c r="BB15" s="138"/>
      <c r="BC15" s="138"/>
      <c r="BD15" s="138"/>
      <c r="BE15" s="138"/>
      <c r="BF15" s="138"/>
      <c r="BG15" s="138"/>
      <c r="BH15" s="138"/>
      <c r="BI15" s="138"/>
      <c r="BJ15" s="138"/>
      <c r="BK15" s="138"/>
      <c r="BL15" s="138"/>
      <c r="BM15" s="138"/>
      <c r="BN15" s="138"/>
      <c r="BO15" s="138"/>
      <c r="BP15" s="138"/>
      <c r="BQ15" s="138"/>
      <c r="BR15" s="138"/>
      <c r="BS15" s="138"/>
      <c r="BT15" s="138"/>
      <c r="BU15" s="138"/>
      <c r="BV15" s="138"/>
      <c r="BW15" s="138"/>
      <c r="BX15" s="138"/>
      <c r="BY15" s="138"/>
      <c r="BZ15" s="138"/>
      <c r="CA15" s="138"/>
      <c r="CB15" s="138"/>
      <c r="CC15" s="138"/>
      <c r="CD15" s="138"/>
      <c r="CE15" s="138"/>
      <c r="CF15" s="138"/>
      <c r="CG15" s="138"/>
      <c r="CH15" s="138"/>
      <c r="CI15" s="138"/>
      <c r="CJ15" s="138"/>
      <c r="CK15" s="138"/>
      <c r="CL15" s="138"/>
      <c r="CM15" s="138"/>
      <c r="CN15" s="138"/>
      <c r="CO15" s="138"/>
      <c r="CP15" s="138"/>
      <c r="CQ15" s="138"/>
      <c r="CR15" s="138"/>
      <c r="CS15" s="138"/>
      <c r="CT15" s="138"/>
      <c r="CU15" s="138"/>
      <c r="CV15" s="138"/>
      <c r="CW15" s="138"/>
      <c r="CX15" s="138"/>
      <c r="CY15" s="138"/>
      <c r="CZ15" s="138"/>
      <c r="DA15" s="138"/>
      <c r="DB15" s="138"/>
      <c r="DC15" s="138"/>
      <c r="DD15" s="138"/>
      <c r="DE15" s="138"/>
      <c r="DF15" s="138"/>
      <c r="DG15" s="138"/>
      <c r="DH15" s="138"/>
      <c r="DI15" s="138"/>
      <c r="DJ15" s="138"/>
      <c r="DK15" s="138"/>
      <c r="DL15" s="138"/>
      <c r="DM15" s="138"/>
      <c r="DN15" s="138"/>
      <c r="DO15" s="138"/>
      <c r="DP15" s="138"/>
      <c r="DQ15" s="138"/>
      <c r="DR15" s="138"/>
      <c r="DS15" s="138"/>
      <c r="DT15" s="138"/>
      <c r="DU15" s="138"/>
      <c r="DV15" s="138"/>
      <c r="DW15" s="138"/>
      <c r="DX15" s="138"/>
      <c r="DY15" s="138"/>
      <c r="DZ15" s="138"/>
      <c r="EA15" s="138"/>
      <c r="EB15" s="138"/>
      <c r="EC15" s="138"/>
      <c r="ED15" s="138"/>
      <c r="EE15" s="138"/>
      <c r="EF15" s="138"/>
      <c r="EG15" s="138"/>
      <c r="EH15" s="138"/>
      <c r="EI15" s="138"/>
      <c r="EJ15" s="138"/>
      <c r="EK15" s="138"/>
      <c r="EL15" s="138"/>
      <c r="EM15" s="138"/>
      <c r="EN15" s="138"/>
      <c r="EO15" s="138"/>
      <c r="EP15" s="138"/>
      <c r="EQ15" s="138"/>
      <c r="ER15" s="138"/>
      <c r="ES15" s="138"/>
      <c r="ET15" s="138"/>
      <c r="EU15" s="138"/>
      <c r="EV15" s="138"/>
      <c r="EW15" s="138"/>
      <c r="EX15" s="138"/>
      <c r="EY15" s="138"/>
      <c r="EZ15" s="138"/>
      <c r="FA15" s="138"/>
      <c r="FB15" s="138"/>
      <c r="FC15" s="138"/>
      <c r="FD15" s="138"/>
      <c r="FE15" s="138"/>
      <c r="FF15" s="138"/>
      <c r="FG15" s="138"/>
      <c r="FH15" s="138"/>
      <c r="FI15" s="138"/>
      <c r="FJ15" s="138"/>
      <c r="FK15" s="138"/>
      <c r="FL15" s="138"/>
      <c r="FM15" s="138"/>
      <c r="FN15" s="138"/>
      <c r="FO15" s="138"/>
      <c r="FP15" s="138"/>
      <c r="FQ15" s="138"/>
      <c r="FR15" s="138"/>
      <c r="FS15" s="138"/>
      <c r="FT15" s="138"/>
      <c r="FU15" s="138"/>
      <c r="FV15" s="138"/>
      <c r="FW15" s="138"/>
      <c r="FX15" s="138"/>
      <c r="FY15" s="138"/>
      <c r="FZ15" s="138"/>
      <c r="GA15" s="138"/>
      <c r="GB15" s="138"/>
      <c r="GC15" s="138"/>
      <c r="GD15" s="138"/>
      <c r="GE15" s="138"/>
      <c r="GF15" s="138"/>
      <c r="GG15" s="138"/>
      <c r="GH15" s="138"/>
      <c r="GI15" s="138"/>
      <c r="GJ15" s="138"/>
      <c r="GK15" s="138"/>
      <c r="GL15" s="138"/>
      <c r="GM15" s="138"/>
      <c r="GN15" s="138"/>
      <c r="GO15" s="138"/>
      <c r="GP15" s="138"/>
      <c r="GQ15" s="138"/>
      <c r="GR15" s="138"/>
      <c r="GS15" s="138"/>
      <c r="GT15" s="138"/>
      <c r="GU15" s="138"/>
      <c r="GV15" s="138"/>
      <c r="GW15" s="138"/>
      <c r="GX15" s="138"/>
      <c r="GY15" s="138"/>
      <c r="GZ15" s="138"/>
      <c r="HA15" s="138"/>
      <c r="HB15" s="138"/>
      <c r="HC15" s="138"/>
      <c r="HD15" s="138"/>
      <c r="HE15" s="138"/>
      <c r="HF15" s="138"/>
      <c r="HG15" s="138"/>
      <c r="HH15" s="138"/>
      <c r="HI15" s="138"/>
      <c r="HJ15" s="138"/>
      <c r="HK15" s="138"/>
      <c r="HL15" s="138"/>
      <c r="HM15" s="138"/>
      <c r="HN15" s="138"/>
      <c r="HO15" s="138"/>
      <c r="HP15" s="138"/>
      <c r="HQ15" s="138"/>
      <c r="HR15" s="138"/>
      <c r="HS15" s="138"/>
      <c r="HT15" s="138"/>
      <c r="HU15" s="138"/>
      <c r="HV15" s="138"/>
      <c r="HW15" s="138"/>
      <c r="HX15" s="138"/>
      <c r="HY15" s="138"/>
      <c r="HZ15" s="138"/>
      <c r="IA15" s="138"/>
      <c r="IB15" s="138"/>
      <c r="IC15" s="138"/>
      <c r="ID15" s="138"/>
      <c r="IE15" s="138"/>
      <c r="IF15" s="138"/>
      <c r="IG15" s="138"/>
      <c r="IH15" s="138"/>
      <c r="II15" s="138"/>
      <c r="IJ15" s="138"/>
      <c r="IK15" s="138"/>
      <c r="IL15" s="138"/>
    </row>
    <row r="16" spans="1:246" ht="26.15" customHeight="1" x14ac:dyDescent="0.6">
      <c r="A16" s="139" t="s">
        <v>110</v>
      </c>
      <c r="B16" s="140" t="s">
        <v>111</v>
      </c>
      <c r="C16" s="141" t="s">
        <v>112</v>
      </c>
      <c r="D16" s="301"/>
      <c r="E16" s="302"/>
      <c r="F16" s="303"/>
      <c r="G16" s="304"/>
      <c r="H16" s="305"/>
      <c r="I16" s="306"/>
      <c r="J16" s="142" t="s">
        <v>2</v>
      </c>
      <c r="K16" s="143" t="s">
        <v>113</v>
      </c>
      <c r="L16" s="143" t="s">
        <v>7</v>
      </c>
      <c r="M16" s="307"/>
      <c r="N16" s="308"/>
      <c r="O16" s="308"/>
      <c r="P16" s="308"/>
      <c r="Q16" s="144" t="s">
        <v>114</v>
      </c>
      <c r="R16" s="144" t="s">
        <v>115</v>
      </c>
      <c r="S16" s="310"/>
      <c r="T16" s="310"/>
      <c r="U16" s="311"/>
      <c r="V16" s="308"/>
      <c r="W16" s="145" t="s">
        <v>95</v>
      </c>
      <c r="X16" s="312"/>
      <c r="Y16" s="134" t="s">
        <v>3</v>
      </c>
      <c r="Z16" s="142" t="s">
        <v>7</v>
      </c>
      <c r="AA16" s="313"/>
      <c r="AB16" s="314"/>
      <c r="AC16" s="311"/>
      <c r="AD16" s="146" t="s">
        <v>116</v>
      </c>
      <c r="AE16" s="147" t="s">
        <v>117</v>
      </c>
      <c r="AF16" s="148" t="s">
        <v>118</v>
      </c>
      <c r="AG16" s="137" t="s">
        <v>119</v>
      </c>
      <c r="AH16" s="137" t="s">
        <v>120</v>
      </c>
      <c r="AI16" s="128" t="s">
        <v>121</v>
      </c>
      <c r="AJ16" s="312"/>
      <c r="AK16" s="311"/>
      <c r="AL16" s="128" t="str">
        <f>"Delformel S for kolonne " &amp; SUBSTITUTE(ADDRESS(1, t2kTB1,4),"1","")</f>
        <v>Delformel S for kolonne I</v>
      </c>
      <c r="AM16" s="136" t="str">
        <f>"Delformel A for kolonne " &amp; SUBSTITUTE(ADDRESS(1, t2kTB1,4),"1","")</f>
        <v>Delformel A for kolonne I</v>
      </c>
      <c r="AN16" s="136" t="str">
        <f>"Delformel A2 for kolonne " &amp; SUBSTITUTE(ADDRESS(1, t2kTB1,4),"1","")</f>
        <v>Delformel A2 for kolonne I</v>
      </c>
      <c r="AO16" s="149" t="str">
        <f>"Delformel S for kolonne " &amp; SUBSTITUTE(ADDRESS(1, t2kTI1,4),"1","")</f>
        <v>Delformel S for kolonne H</v>
      </c>
      <c r="AP16" s="149" t="str">
        <f>"Delformel A for kolonne " &amp; SUBSTITUTE(ADDRESS(1, t2kTI1,4),"1","")</f>
        <v>Delformel A for kolonne H</v>
      </c>
      <c r="AQ16" s="136" t="str">
        <f>"Delformel N for kolonne " &amp; SUBSTITUTE(ADDRESS(1, t2kTnb,4),"1","")</f>
        <v>Delformel N for kolonne B</v>
      </c>
      <c r="AR16" s="136" t="str">
        <f>"Delformel J for kolonne " &amp; SUBSTITUTE(ADDRESS(1, t2kTnb,4),"1","")</f>
        <v>Delformel J for kolonne B</v>
      </c>
      <c r="AS16" s="150" t="s">
        <v>122</v>
      </c>
      <c r="AT16" s="151" t="s">
        <v>123</v>
      </c>
      <c r="AU16" s="151" t="s">
        <v>124</v>
      </c>
      <c r="AW16" s="138"/>
      <c r="AX16" s="138"/>
      <c r="AY16" s="138"/>
      <c r="AZ16" s="138"/>
      <c r="BA16" s="138"/>
      <c r="BB16" s="138"/>
      <c r="BC16" s="138"/>
      <c r="BD16" s="138"/>
      <c r="BE16" s="138"/>
      <c r="BF16" s="138"/>
      <c r="BG16" s="138"/>
      <c r="BH16" s="138"/>
      <c r="BI16" s="138"/>
      <c r="BJ16" s="138"/>
      <c r="BK16" s="138"/>
      <c r="BL16" s="138"/>
      <c r="BM16" s="138"/>
      <c r="BN16" s="138"/>
      <c r="BO16" s="138"/>
      <c r="BP16" s="138"/>
      <c r="BQ16" s="138"/>
      <c r="BR16" s="138"/>
      <c r="BS16" s="138"/>
      <c r="BT16" s="138"/>
      <c r="BU16" s="138"/>
      <c r="BV16" s="138"/>
      <c r="BW16" s="138"/>
      <c r="BX16" s="138"/>
      <c r="BY16" s="138"/>
      <c r="BZ16" s="138"/>
      <c r="CA16" s="138"/>
      <c r="CB16" s="138"/>
      <c r="CC16" s="138"/>
      <c r="CD16" s="138"/>
      <c r="CE16" s="138"/>
      <c r="CF16" s="138"/>
      <c r="CG16" s="138"/>
      <c r="CH16" s="138"/>
      <c r="CI16" s="138"/>
      <c r="CJ16" s="138"/>
      <c r="CK16" s="138"/>
      <c r="CL16" s="138"/>
      <c r="CM16" s="138"/>
      <c r="CN16" s="138"/>
      <c r="CO16" s="138"/>
      <c r="CP16" s="138"/>
      <c r="CQ16" s="138"/>
      <c r="CR16" s="138"/>
      <c r="CS16" s="138"/>
      <c r="CT16" s="138"/>
      <c r="CU16" s="138"/>
      <c r="CV16" s="138"/>
      <c r="CW16" s="138"/>
      <c r="CX16" s="138"/>
      <c r="CY16" s="138"/>
      <c r="CZ16" s="138"/>
      <c r="DA16" s="138"/>
      <c r="DB16" s="138"/>
      <c r="DC16" s="138"/>
      <c r="DD16" s="138"/>
      <c r="DE16" s="138"/>
      <c r="DF16" s="138"/>
      <c r="DG16" s="138"/>
      <c r="DH16" s="138"/>
      <c r="DI16" s="138"/>
      <c r="DJ16" s="138"/>
      <c r="DK16" s="138"/>
      <c r="DL16" s="138"/>
      <c r="DM16" s="138"/>
      <c r="DN16" s="138"/>
      <c r="DO16" s="138"/>
      <c r="DP16" s="138"/>
      <c r="DQ16" s="138"/>
      <c r="DR16" s="138"/>
      <c r="DS16" s="138"/>
      <c r="DT16" s="138"/>
      <c r="DU16" s="138"/>
      <c r="DV16" s="138"/>
      <c r="DW16" s="138"/>
      <c r="DX16" s="138"/>
      <c r="DY16" s="138"/>
      <c r="DZ16" s="138"/>
      <c r="EA16" s="138"/>
      <c r="EB16" s="138"/>
      <c r="EC16" s="138"/>
      <c r="ED16" s="138"/>
      <c r="EE16" s="138"/>
      <c r="EF16" s="138"/>
      <c r="EG16" s="138"/>
      <c r="EH16" s="138"/>
      <c r="EI16" s="138"/>
      <c r="EJ16" s="138"/>
      <c r="EK16" s="138"/>
      <c r="EL16" s="138"/>
      <c r="EM16" s="138"/>
      <c r="EN16" s="138"/>
      <c r="EO16" s="138"/>
      <c r="EP16" s="138"/>
      <c r="EQ16" s="138"/>
      <c r="ER16" s="138"/>
      <c r="ES16" s="138"/>
      <c r="ET16" s="138"/>
      <c r="EU16" s="138"/>
      <c r="EV16" s="138"/>
      <c r="EW16" s="138"/>
      <c r="EX16" s="138"/>
      <c r="EY16" s="138"/>
      <c r="EZ16" s="138"/>
      <c r="FA16" s="138"/>
      <c r="FB16" s="138"/>
      <c r="FC16" s="138"/>
      <c r="FD16" s="138"/>
      <c r="FE16" s="138"/>
      <c r="FF16" s="138"/>
      <c r="FG16" s="138"/>
      <c r="FH16" s="138"/>
      <c r="FI16" s="138"/>
      <c r="FJ16" s="138"/>
      <c r="FK16" s="138"/>
      <c r="FL16" s="138"/>
      <c r="FM16" s="138"/>
      <c r="FN16" s="138"/>
      <c r="FO16" s="138"/>
      <c r="FP16" s="138"/>
      <c r="FQ16" s="138"/>
      <c r="FR16" s="138"/>
      <c r="FS16" s="138"/>
      <c r="FT16" s="138"/>
      <c r="FU16" s="138"/>
      <c r="FV16" s="138"/>
      <c r="FW16" s="138"/>
      <c r="FX16" s="138"/>
      <c r="FY16" s="138"/>
      <c r="FZ16" s="138"/>
      <c r="GA16" s="138"/>
      <c r="GB16" s="138"/>
      <c r="GC16" s="138"/>
      <c r="GD16" s="138"/>
      <c r="GE16" s="138"/>
      <c r="GF16" s="138"/>
      <c r="GG16" s="138"/>
      <c r="GH16" s="138"/>
      <c r="GI16" s="138"/>
      <c r="GJ16" s="138"/>
      <c r="GK16" s="138"/>
      <c r="GL16" s="138"/>
      <c r="GM16" s="138"/>
      <c r="GN16" s="138"/>
      <c r="GO16" s="138"/>
      <c r="GP16" s="138"/>
      <c r="GQ16" s="138"/>
      <c r="GR16" s="138"/>
      <c r="GS16" s="138"/>
      <c r="GT16" s="138"/>
      <c r="GU16" s="138"/>
      <c r="GV16" s="138"/>
      <c r="GW16" s="138"/>
      <c r="GX16" s="138"/>
      <c r="GY16" s="138"/>
      <c r="GZ16" s="138"/>
      <c r="HA16" s="138"/>
      <c r="HB16" s="138"/>
      <c r="HC16" s="138"/>
      <c r="HD16" s="138"/>
      <c r="HE16" s="138"/>
      <c r="HF16" s="138"/>
      <c r="HG16" s="138"/>
      <c r="HH16" s="138"/>
      <c r="HI16" s="138"/>
      <c r="HJ16" s="138"/>
      <c r="HK16" s="138"/>
      <c r="HL16" s="138"/>
      <c r="HM16" s="138"/>
      <c r="HN16" s="138"/>
      <c r="HO16" s="138"/>
      <c r="HP16" s="138"/>
      <c r="HQ16" s="138"/>
      <c r="HR16" s="138"/>
      <c r="HS16" s="138"/>
      <c r="HT16" s="138"/>
      <c r="HU16" s="138"/>
      <c r="HV16" s="138"/>
      <c r="HW16" s="138"/>
      <c r="HX16" s="138"/>
      <c r="HY16" s="138"/>
      <c r="HZ16" s="138"/>
      <c r="IA16" s="138"/>
      <c r="IB16" s="138"/>
      <c r="IC16" s="138"/>
      <c r="ID16" s="138"/>
      <c r="IE16" s="138"/>
      <c r="IF16" s="138"/>
      <c r="IG16" s="138"/>
      <c r="IH16" s="138"/>
      <c r="II16" s="138"/>
      <c r="IJ16" s="138"/>
      <c r="IK16" s="138"/>
      <c r="IL16" s="138"/>
    </row>
    <row r="17" spans="1:47" x14ac:dyDescent="0.6">
      <c r="A17" s="152"/>
      <c r="B17" s="153"/>
      <c r="C17" s="276"/>
      <c r="D17" s="154"/>
      <c r="E17" s="155"/>
      <c r="F17" s="156"/>
      <c r="G17" s="14">
        <v>0</v>
      </c>
      <c r="H17" s="157"/>
      <c r="I17" s="16"/>
      <c r="J17" s="16"/>
      <c r="K17" s="158"/>
      <c r="L17" s="158">
        <f>$E$3</f>
        <v>2559839</v>
      </c>
      <c r="M17" s="159"/>
      <c r="N17" s="16"/>
      <c r="O17" s="16"/>
      <c r="P17" s="16"/>
      <c r="Q17" s="160">
        <v>5000000</v>
      </c>
      <c r="R17" s="160">
        <v>0</v>
      </c>
      <c r="S17" s="160">
        <v>358488</v>
      </c>
      <c r="T17" s="160">
        <v>628000</v>
      </c>
      <c r="U17" s="161"/>
      <c r="V17" s="162">
        <f t="shared" ref="V17:V80" ca="1" si="0">IF(SUM(INDIRECT(ADDRESS(ROW(), t2kInntekt))) = 0, "Inntekt mangler", ROUNDUP(($L17 + INDIRECT(ADDRESS(ROW(), t2kFGj)) + INDIRECT(ADDRESS(ROW(), t2kAnnenGjeld))) / INDIRECT(ADDRESS(ROW(), t2kInntekt)), 2))</f>
        <v>4.6499999999999995</v>
      </c>
      <c r="W17" s="163"/>
      <c r="X17" s="158"/>
      <c r="Y17" s="16"/>
      <c r="Z17" s="164">
        <f>E3</f>
        <v>2559839</v>
      </c>
      <c r="AA17" s="275"/>
      <c r="AB17" s="16"/>
      <c r="AC17" s="16"/>
      <c r="AD17" s="165">
        <v>123.4</v>
      </c>
      <c r="AE17" s="274"/>
      <c r="AF17" s="166"/>
      <c r="AG17" s="16"/>
      <c r="AH17" s="16"/>
      <c r="AI17" s="159"/>
      <c r="AJ17" s="167"/>
      <c r="AK17" s="16">
        <f>($E$3-$E$9)</f>
        <v>2559839</v>
      </c>
      <c r="AL17" s="168"/>
      <c r="AM17" s="158"/>
      <c r="AN17" s="158"/>
      <c r="AO17" s="169"/>
      <c r="AP17" s="169"/>
      <c r="AQ17" s="158"/>
      <c r="AR17" s="158"/>
      <c r="AS17" s="170"/>
      <c r="AT17" s="159"/>
      <c r="AU17" s="159"/>
    </row>
    <row r="18" spans="1:47" x14ac:dyDescent="0.6">
      <c r="A18" s="171" t="str">
        <f t="shared" ref="A18:A81" ca="1" si="1">PROPER(CHOOSE((MONTH($E$5)-1+G18)-INT((MONTH($E$5)-2+G18)/12)*12,"Januar","Februar","Mars","April","Mai","Juni","Juli","August","September","Oktober","November","Desember")) &amp; " " &amp; TEXT(YEAR($E$5) + INT((MONTH($E$5)-2+G18)/12),0)</f>
        <v>Januar 2025</v>
      </c>
      <c r="B18" s="172"/>
      <c r="C18" s="269">
        <v>5.4899999999999997E-2</v>
      </c>
      <c r="D18" s="173"/>
      <c r="E18" s="174"/>
      <c r="F18" s="175">
        <v>49</v>
      </c>
      <c r="G18" s="10">
        <v>1</v>
      </c>
      <c r="H18" s="176">
        <f ca="1">IF(OR(ROUND($E$4*12,0)+ROUND(SUM(INDIRECT(ADDRESS(ROW(),t2kNTid)))*12,0) &lt;= 0, ROUND(L17,0) &lt;= 0), 0, ROUND($E$4*12,0)+ROUND(SUM(INDIRECT(ADDRESS(ROW(),t2kNTid)))*12,0))</f>
        <v>312</v>
      </c>
      <c r="I18" s="12">
        <f ca="1">IF(AND(H18&lt;=0,ROUND(L17,0)&lt;=0),0, IF(LOWER(LEFT($E$2,1))="s", L17/H18+J18,ABS(PMT(INDIRECT(ADDRESS(ROW(),t2kRP))/12,H18,L17))))</f>
        <v>19915.875604487177</v>
      </c>
      <c r="J18" s="12">
        <f t="shared" ref="J18:J81" ca="1" si="2">IF(AND(H18&lt;=0,ROUND(L17,0)&lt;=0),0, L17*INDIRECT(ADDRESS(ROW(),t2kRP))/12)</f>
        <v>11711.263424999999</v>
      </c>
      <c r="K18" s="177">
        <f t="shared" ref="K18:K81" ca="1" si="3">IF(INDIRECT(ADDRESS(ROW(),t2kUAvd))="x", 0, I18-J18)</f>
        <v>8204.6121794871779</v>
      </c>
      <c r="L18" s="177">
        <f t="shared" ref="L18:L81" ca="1" si="4">IF(ABS(L17-ROUND(INDIRECT(ADDRESS(ROW(),t2kTnb)),0)-K18)&lt;0.5, 0, L17-INDIRECT(ADDRESS(ROW(),t2kTnb))-K18)</f>
        <v>2551634.387820513</v>
      </c>
      <c r="M18" s="11">
        <f t="shared" ref="M18:M81" ca="1" si="5">Y18-J18</f>
        <v>0</v>
      </c>
      <c r="N18" s="12">
        <f ca="1">IF(Y18=0, 0, ROUND(SUM(Y$17:Y18)-SUM(J$17:J18),0))</f>
        <v>0</v>
      </c>
      <c r="O18" s="12" t="str">
        <f t="shared" ref="O18:O81" ca="1" si="6">IF(OR(ROUND(Z18,0)&lt;=0, AND(ROUND(H18,0)&lt;=0,ROUND(L17,0)&lt;=0)), "",IF(ROUNDDOWN(Z17-L17,-(LEN(TEXT(INT(ABS(Z17-L17)),0))-2))=ROUNDDOWN(Z18-L18,-(LEN(TEXT(INT(ABS(Z18-L18)),0))-2)),"", ROUNDDOWN(Z18-L18,-(LEN(TEXT(INT(ABS(Z18-L18)),0))-2))))</f>
        <v/>
      </c>
      <c r="P18" s="12" t="str">
        <f t="shared" ref="P18:P81" ca="1" si="7">IF(INDIRECT(ADDRESS(ROW(),t2kTakst))&lt;=L18, "",IF(ROUNDDOWN(INDIRECT(ADDRESS(ROW()-1,t2kTakst))-L17,-4)=ROUNDDOWN(INDIRECT(ADDRESS(ROW(),t2kTakst))-L18,-4),"", ROUNDDOWN(INDIRECT(ADDRESS(ROW(),t2kTakst))-L18,-4)))</f>
        <v/>
      </c>
      <c r="Q18" s="178">
        <f t="shared" ref="Q18:T37" ca="1" si="8">OFFSET(Q18,-1,0,1,1)</f>
        <v>5000000</v>
      </c>
      <c r="R18" s="178">
        <f t="shared" ca="1" si="8"/>
        <v>0</v>
      </c>
      <c r="S18" s="178">
        <f t="shared" ca="1" si="8"/>
        <v>358488</v>
      </c>
      <c r="T18" s="178">
        <f t="shared" ca="1" si="8"/>
        <v>628000</v>
      </c>
      <c r="U18" s="179" t="str">
        <f t="shared" ref="U18:U81" ca="1" si="9">IF(AND(OR(AND(ISNUMBER(INDIRECT(ADDRESS(ROW()-1, t2kGjeldsgrad))), SUM(INDIRECT(ADDRESS(ROW()-1, t2kGjeldsgrad))) &gt; $P$10), NOT(ISNUMBER(INDIRECT(ADDRESS(ROW()-1, t2kGjeldsgrad))))), ISNUMBER($V18), ISNUMBER($P$10), SUM($V18) &lt;= SUM($P$10)), ROW(), "")</f>
        <v/>
      </c>
      <c r="V18" s="180">
        <f t="shared" ca="1" si="0"/>
        <v>4.6399999999999997</v>
      </c>
      <c r="W18" s="181">
        <f>IF(OR(ROUND($E$4*12,0)-G18+1 &lt;= 0, ROUND(Z17,0) &lt;=0),0,ROUND($E$4*12,0)-G18+1)</f>
        <v>312</v>
      </c>
      <c r="X18" s="177">
        <f t="shared" ref="X18:X81" ca="1" si="10">IF(AND(W18&lt;=0,ROUND(Z17,0)&lt;=0),0,IF(LOWER(LEFT($E$2,1))="s", IF($E$3/ROUND($E$4*12,0)+Y18&gt;Z17+Y18, Z17+Y18, $E$3/ROUND($E$4*12,0)+Y18),IF(ABS(PMT(INDIRECT(ADDRESS(ROW(),t2kRP))/12,W18,Z17)) &gt;Z17+Y18, Z17+Y18, ABS(PMT(INDIRECT(ADDRESS(ROW(),t2kRP))/12,W18,Z17)))))</f>
        <v>19915.875604487177</v>
      </c>
      <c r="Y18" s="12">
        <f t="shared" ref="Y18:Y81" ca="1" si="11">IF(AND(W18&lt;=0,ROUND(Z17,0)&lt;=0),0, Z17*INDIRECT(ADDRESS(ROW(),t2kRP))/12)</f>
        <v>11711.263424999999</v>
      </c>
      <c r="Z18" s="182">
        <f t="shared" ref="Z18:Z81" ca="1" si="12">IF(ABS(Z17+Y18-X18)&lt;0.5,0,Z17+Y18-X18)</f>
        <v>2551634.387820513</v>
      </c>
      <c r="AA18" s="271">
        <v>0.22</v>
      </c>
      <c r="AB18" s="12">
        <f t="shared" ref="AB18:AB81" ca="1" si="13">INDIRECT(ADDRESS(ROW(),t2kTnb))+($AI18+$J18)*(1-IF(LOWER(LEFT($P$3,1))="j", INDIRECT(ADDRESS(ROW(), t2kFradragPst)), 0))+$K18</f>
        <v>17377.61765098718</v>
      </c>
      <c r="AC18" s="12">
        <f t="shared" ref="AC18:AC81" ca="1" si="14">($AJ18+$Y18)*(1-IF(LOWER(LEFT($P$3,1))="j", INDIRECT(ADDRESS(ROW(), t2kFradragPst)), 0))+($X18-$Y18)</f>
        <v>17377.61765098718</v>
      </c>
      <c r="AD18" s="183">
        <v>123.5</v>
      </c>
      <c r="AE18" s="273">
        <f t="shared" ref="AE18:AE81" ca="1" si="15">IF(OR(SUM(INDIRECT(ADDRESS(ROW()-1,t2kKPI)))=0,SUM(INDIRECT(ADDRESS(ROW(),t2kKPI)))=0), -((-$R$4+1)^(1/12)-1), (INDIRECT(ADDRESS(ROW(),t2kKPI))-INDIRECT(ADDRESS(ROW()-1,t2kKPI)))/INDIRECT(ADDRESS(ROW()-1,t2kKPI)))</f>
        <v>8.1037277147483233E-4</v>
      </c>
      <c r="AF18" s="184">
        <f t="shared" ref="AF18:AF81" ca="1" si="16">IF(G18-$P$4=0,1,IF(G18-$P$4&lt;0,AF19/(1-AE19),AF17*(1-AE18)))</f>
        <v>1</v>
      </c>
      <c r="AG18" s="12">
        <f t="shared" ref="AG18:AG81" ca="1" si="17">$AF18*$AB18</f>
        <v>17377.61765098718</v>
      </c>
      <c r="AH18" s="12">
        <f t="shared" ref="AH18:AH81" ca="1" si="18">$AF18*$AC18</f>
        <v>17377.61765098718</v>
      </c>
      <c r="AI18" s="185">
        <f t="shared" ref="AI18:AI81" ca="1" si="19">IF(AND(H18&lt;=0,ROUND(L17,0)&lt;=0), 0, INDIRECT(ADDRESS(ROW(),t2kTG)))</f>
        <v>49</v>
      </c>
      <c r="AJ18" s="177">
        <f t="shared" ref="AJ18:AJ81" ca="1" si="20">IF(AND(W18&lt;=0,ROUND(Z17,0)&lt;=0), 0, INDIRECT(ADDRESS(ROW(),t2kTG)))</f>
        <v>49</v>
      </c>
      <c r="AK18" s="12">
        <f t="shared" ref="AK18:AK81" ca="1" si="21">-(INDIRECT(ADDRESS(ROW(),t2kTnb))+AI18+J18+K18)</f>
        <v>-19964.875604487177</v>
      </c>
      <c r="AL18" s="186" t="s">
        <v>125</v>
      </c>
      <c r="AM18" s="187" t="s">
        <v>125</v>
      </c>
      <c r="AN18" s="187" t="s">
        <v>125</v>
      </c>
      <c r="AO18" s="188" t="s">
        <v>125</v>
      </c>
      <c r="AP18" s="188" t="s">
        <v>125</v>
      </c>
      <c r="AQ18" s="187" t="s">
        <v>125</v>
      </c>
      <c r="AR18" s="187" t="s">
        <v>125</v>
      </c>
      <c r="AS18" s="189" t="s">
        <v>126</v>
      </c>
      <c r="AT18" s="190" t="str">
        <f>"Første radnr i tabellen: t2rTLn1"</f>
        <v>Første radnr i tabellen: t2rTLn1</v>
      </c>
      <c r="AU18" s="190" t="str">
        <f ca="1">"Kolonnenr i tabell for " &amp; SUBSTITUTE(ADDRESS(1, t2kMnd,4),"1","") &amp; " - """ &amp; INDIRECT(ADDRESS(t2rTLn1-2, t2kMnd)) &amp; """: t2kMnd"</f>
        <v>Kolonnenr i tabell for A - "Måned": t2kMnd</v>
      </c>
    </row>
    <row r="19" spans="1:47" x14ac:dyDescent="0.6">
      <c r="A19" s="152" t="str">
        <f t="shared" ca="1" si="1"/>
        <v>Februar 2025</v>
      </c>
      <c r="B19" s="191">
        <v>0</v>
      </c>
      <c r="C19" s="270">
        <f t="shared" ref="C19:C82" ca="1" si="22">IF(AND(LOWER(LEFT($E$10,1))="j", INDIRECT(ADDRESS(ROW(),t2kTNr))=t2vStdRTNr), t2xStdRPst, OFFSET(C19,-1,0,1,1))</f>
        <v>5.4899999999999997E-2</v>
      </c>
      <c r="D19" s="192" t="str">
        <f t="shared" ref="D19:D82" ca="1" si="23">IF(AND(LOWER(LEFT($E$8, 1))&lt;&gt;"n", INDIRECT(ADDRESS(ROW()-1,t2kUAvd))="x"),-1/12,"")</f>
        <v/>
      </c>
      <c r="E19" s="193" t="str">
        <f t="shared" ref="E19:E82" ca="1" si="24">IF(AND(LOWER(OFFSET(E19,-1,0,1,1))="x", INDIRECT(ADDRESS(ROW(),t2kTI1))&gt;1),OFFSET(E19,-1,0,1,1),"")</f>
        <v/>
      </c>
      <c r="F19" s="194">
        <f t="shared" ref="F19:F82" ca="1" si="25">OFFSET(F19,-1,0,1,1)</f>
        <v>49</v>
      </c>
      <c r="G19" s="14">
        <v>2</v>
      </c>
      <c r="H19" s="157">
        <f t="shared" ref="H19:H82" ca="1" si="26">IF(OR(ROUND(H18,0) + ROUND(SUM(INDIRECT(ADDRESS(ROW(),t2kNTid)))*12,0) &lt;= 0,ROUND(L18,0)&lt;=0),0, IF(LOWER(LEFT($E$2,1))="s", AO19, AP19))</f>
        <v>311</v>
      </c>
      <c r="I19" s="16">
        <f t="shared" ref="I19:I82" ca="1" si="27">IF(AND(H19&lt;=0,ROUND(L18,0)&lt;=0),0,IF(I18&gt;=L18+J19,L18+J19,IF(LOWER(LEFT($E$2,1))="s", AL19, AM19)))</f>
        <v>19878.339503766023</v>
      </c>
      <c r="J19" s="16">
        <f t="shared" ca="1" si="2"/>
        <v>11673.727324278845</v>
      </c>
      <c r="K19" s="158">
        <f t="shared" ca="1" si="3"/>
        <v>8204.6121794871779</v>
      </c>
      <c r="L19" s="158">
        <f t="shared" ca="1" si="4"/>
        <v>2543429.775641026</v>
      </c>
      <c r="M19" s="15">
        <f t="shared" ca="1" si="5"/>
        <v>0</v>
      </c>
      <c r="N19" s="16">
        <f ca="1">IF(Y19=0, 0, ROUND(SUM(Y$17:Y19)-SUM(J$17:J19),0))</f>
        <v>0</v>
      </c>
      <c r="O19" s="16" t="str">
        <f t="shared" ca="1" si="6"/>
        <v/>
      </c>
      <c r="P19" s="16">
        <f t="shared" ca="1" si="7"/>
        <v>2450000</v>
      </c>
      <c r="Q19" s="160">
        <f t="shared" ca="1" si="8"/>
        <v>5000000</v>
      </c>
      <c r="R19" s="160">
        <f t="shared" ca="1" si="8"/>
        <v>0</v>
      </c>
      <c r="S19" s="160">
        <f t="shared" ca="1" si="8"/>
        <v>358488</v>
      </c>
      <c r="T19" s="160">
        <f t="shared" ca="1" si="8"/>
        <v>628000</v>
      </c>
      <c r="U19" s="161" t="str">
        <f t="shared" ca="1" si="9"/>
        <v/>
      </c>
      <c r="V19" s="162">
        <f t="shared" ca="1" si="0"/>
        <v>4.63</v>
      </c>
      <c r="W19" s="195">
        <f t="shared" ref="W19:W82" ca="1" si="28">IF(OR(ROUNDUP(W18,0) &lt;= 0, ROUND(Z18,0) &lt;= 0),0,ROUNDUP(W18,0)-1)</f>
        <v>311</v>
      </c>
      <c r="X19" s="158">
        <f t="shared" ca="1" si="10"/>
        <v>19878.339503766023</v>
      </c>
      <c r="Y19" s="16">
        <f t="shared" ca="1" si="11"/>
        <v>11673.727324278845</v>
      </c>
      <c r="Z19" s="164">
        <f t="shared" ca="1" si="12"/>
        <v>2543429.775641026</v>
      </c>
      <c r="AA19" s="272">
        <f t="shared" ref="AA19:AA82" ca="1" si="29">OFFSET(AA19,-1,0,1,1)</f>
        <v>0.22</v>
      </c>
      <c r="AB19" s="16">
        <f t="shared" ca="1" si="13"/>
        <v>17348.339492424675</v>
      </c>
      <c r="AC19" s="16">
        <f t="shared" ca="1" si="14"/>
        <v>17348.339492424675</v>
      </c>
      <c r="AD19" s="165"/>
      <c r="AE19" s="274">
        <f t="shared" ca="1" si="15"/>
        <v>1.6821425527395739E-3</v>
      </c>
      <c r="AF19" s="166">
        <f t="shared" ca="1" si="16"/>
        <v>0.99831785744726043</v>
      </c>
      <c r="AG19" s="16">
        <f t="shared" ca="1" si="17"/>
        <v>17319.157112345096</v>
      </c>
      <c r="AH19" s="16">
        <f t="shared" ca="1" si="18"/>
        <v>17319.157112345096</v>
      </c>
      <c r="AI19" s="168">
        <f t="shared" ca="1" si="19"/>
        <v>49</v>
      </c>
      <c r="AJ19" s="158">
        <f t="shared" ca="1" si="20"/>
        <v>49</v>
      </c>
      <c r="AK19" s="16">
        <f t="shared" ca="1" si="21"/>
        <v>-19927.339503766023</v>
      </c>
      <c r="AL19" s="168">
        <f t="shared" ref="AL19:AL82" ca="1" si="30">IF(OR(SUM(INDIRECT(ADDRESS(ROW(), t2kNTid))) &lt;&gt; 0, AND(LOWER(LEFT($E$6, 1)) &lt;&gt; "j", INDIRECT(ADDRESS(ROW()-1, t2kTnb)) &lt;&gt; 0)), L18 / H19 + J19, (I18 - J18) + J19)</f>
        <v>19878.339503766023</v>
      </c>
      <c r="AM19" s="158">
        <f t="shared" ref="AM19:AM82" ca="1" si="31">IF(AND(INDIRECT(ADDRESS(ROW(), t2kRP)) = INDIRECT(ADDRESS(ROW()-1, t2kRP)), SUM(INDIRECT(ADDRESS(ROW(), t2kNTid))) = 0, OR(LOWER(LEFT($E$6, 1)) = "j", INDIRECT(ADDRESS(ROW()-1, t2kTnb)) = 0)), I18, ABS(AN19))</f>
        <v>19915.875604487177</v>
      </c>
      <c r="AN19" s="158">
        <f t="shared" ref="AN19:AN82" ca="1" si="32">-PMT(INDIRECT(ADDRESS(ROW(), t2kRP)) / 12, IF(SUM(INDIRECT(ADDRESS(ROW(), t2kNTid))) &lt;&gt; 0, H19, H18 - 1), IF(OR(SUM(INDIRECT(ADDRESS(ROW(), t2kNTid))) &lt;&gt; 0, AND(LOWER(LEFT($E$6, 1)) &lt;&gt; "j", INDIRECT(ADDRESS(ROW()-1, t2kTnb)) &lt;&gt; 0)), L18, L18 + INDIRECT(ADDRESS(ROW()-1, t2kTnb))))</f>
        <v>15396.948296854289</v>
      </c>
      <c r="AO19" s="169">
        <f t="shared" ref="AO19:AO82" ca="1" si="33">IF(LOWER(LEFT($E$6, 1)) = "j", ROUNDUP(ROUND(L18 / (I18 - J18), 6),0), IF(LOWER(LEFT(INDIRECT(ADDRESS(ROW()-1, t2kUAvd)), 1)) = "x", H18, H18 - 1)) + ROUND(SUM(INDIRECT(ADDRESS(ROW(), t2kNTid))) * 12, 0)</f>
        <v>311</v>
      </c>
      <c r="AP19" s="169">
        <f t="shared" ref="AP19:AP82" ca="1" si="34">IF(LOWER(LEFT($E$6, 1)) = "j", ROUNDUP(ROUND(NPER(INDIRECT(ADDRESS(ROW()-1, t2kRP)) / 12, -ABS(I18), L18), 6),0), IF(LOWER(LEFT(INDIRECT(ADDRESS(ROW()-1, t2kUAvd)), 1)) = "x", H18, H18 - 1)) + ROUND(SUM(INDIRECT(ADDRESS(ROW(), t2kNTid))) * 12, 0)</f>
        <v>194</v>
      </c>
      <c r="AQ19" s="158">
        <f t="shared" ref="AQ19:AQ82" ca="1" si="35">IF(ROUND(INDIRECT(ADDRESS(ROW()-1,t2kS1)),0) &lt;= 0,0,IF(INDIRECT(ADDRESS(ROW()-1,t2kS1)) &lt;= INDIRECT(ADDRESS(ROW()-1,t2kTnb)) + INDIRECT(ADDRESS(ROW(),t2kAvd1)),INDIRECT(ADDRESS(ROW()-1,t2kS1)) - INDIRECT(ADDRESS(ROW(),t2kAvd1)),INDIRECT(ADDRESS(ROW()-1,t2kTnb))))</f>
        <v>0</v>
      </c>
      <c r="AR19" s="158">
        <f t="shared" ref="AR19:AR82" ca="1" si="36">IF(OR((INDIRECT(ADDRESS(ROW()-1,t2kTnb))+INDIRECT(ADDRESS(ROW()-1,t2kTG))+INDIRECT(ADDRESS(ROW()-1,t2kR1))+INDIRECT(ADDRESS(ROW()-1,t2kAvd1))) &lt;= (INDIRECT(ADDRESS(ROW(),t2kTG))+INDIRECT(ADDRESS(ROW(),t2kR1))+INDIRECT(ADDRESS(ROW(),t2kAvd1))),ROUND(INDIRECT(ADDRESS(ROW()-1,t2kS1)),0) &lt;= 0),0,IF(AND(INDIRECT(ADDRESS(ROW()-1,t2kS1)) - INDIRECT(ADDRESS(ROW(),t2kAvd1)) &gt; -0.5,(INDIRECT(ADDRESS(ROW()-1,t2kTnb))+INDIRECT(ADDRESS(ROW()-1,t2kTG))+INDIRECT(ADDRESS(ROW()-1,t2kR1))+INDIRECT(ADDRESS(ROW()-1,t2kAvd1))) &gt;= (INDIRECT(ADDRESS(ROW()-1,t2kS1))+INDIRECT(ADDRESS(ROW(),t2kR1))+INDIRECT(ADDRESS(ROW(),t2kTG)))),INDIRECT(ADDRESS(ROW()-1,t2kS1)) - INDIRECT(ADDRESS(ROW(),t2kAvd1)),(INDIRECT(ADDRESS(ROW()-1,t2kTnb))+INDIRECT(ADDRESS(ROW()-1,t2kTG))+INDIRECT(ADDRESS(ROW()-1,t2kR1))+INDIRECT(ADDRESS(ROW()-1,t2kAvd1))) - (INDIRECT(ADDRESS(ROW(),t2kTG))+INDIRECT(ADDRESS(ROW(),t2kR1))+INDIRECT(ADDRESS(ROW(),t2kAvd1)))))</f>
        <v>37.536100721154071</v>
      </c>
      <c r="AS19" s="170" t="str">
        <f ca="1">INDIRECT(ADDRESS(t2rTLn1-1+COUNTIF(L18:L377, "&gt;" &amp; TEXT(INT((INDIRECT(ADDRESS(t2rTLnN, t2kTakst))+INDIRECT(ADDRESS(t2rTLnN, t2kFGj)))*$P$7-INDIRECT(ADDRESS(t2rTLnN, t2kFGj))),0))+1,t2kMnd))</f>
        <v>Januar 2025</v>
      </c>
      <c r="AT19" s="159">
        <f>ROW($AU$18)</f>
        <v>18</v>
      </c>
      <c r="AU19" s="159">
        <f>COLUMN($A$16)</f>
        <v>1</v>
      </c>
    </row>
    <row r="20" spans="1:47" x14ac:dyDescent="0.6">
      <c r="A20" s="171" t="str">
        <f t="shared" ca="1" si="1"/>
        <v>Mars 2025</v>
      </c>
      <c r="B20" s="191">
        <v>0</v>
      </c>
      <c r="C20" s="269">
        <f t="shared" ca="1" si="22"/>
        <v>5.4899999999999997E-2</v>
      </c>
      <c r="D20" s="173" t="str">
        <f t="shared" ca="1" si="23"/>
        <v/>
      </c>
      <c r="E20" s="174" t="str">
        <f t="shared" ca="1" si="24"/>
        <v/>
      </c>
      <c r="F20" s="175">
        <f t="shared" ca="1" si="25"/>
        <v>49</v>
      </c>
      <c r="G20" s="10">
        <v>3</v>
      </c>
      <c r="H20" s="176">
        <f t="shared" ca="1" si="26"/>
        <v>310</v>
      </c>
      <c r="I20" s="12">
        <f t="shared" ca="1" si="27"/>
        <v>19840.803403044873</v>
      </c>
      <c r="J20" s="12">
        <f t="shared" ca="1" si="2"/>
        <v>11636.191223557695</v>
      </c>
      <c r="K20" s="177">
        <f t="shared" ca="1" si="3"/>
        <v>8204.6121794871779</v>
      </c>
      <c r="L20" s="177">
        <f t="shared" ca="1" si="4"/>
        <v>2535225.163461539</v>
      </c>
      <c r="M20" s="11">
        <f t="shared" ca="1" si="5"/>
        <v>0</v>
      </c>
      <c r="N20" s="12">
        <f ca="1">IF(Y20=0, 0, ROUND(SUM(Y$17:Y20)-SUM(J$17:J20),0))</f>
        <v>0</v>
      </c>
      <c r="O20" s="12" t="str">
        <f t="shared" ca="1" si="6"/>
        <v/>
      </c>
      <c r="P20" s="12">
        <f t="shared" ca="1" si="7"/>
        <v>2460000</v>
      </c>
      <c r="Q20" s="178">
        <f t="shared" ca="1" si="8"/>
        <v>5000000</v>
      </c>
      <c r="R20" s="178">
        <f t="shared" ca="1" si="8"/>
        <v>0</v>
      </c>
      <c r="S20" s="178">
        <f t="shared" ca="1" si="8"/>
        <v>358488</v>
      </c>
      <c r="T20" s="178">
        <f t="shared" ca="1" si="8"/>
        <v>628000</v>
      </c>
      <c r="U20" s="179" t="str">
        <f t="shared" ca="1" si="9"/>
        <v/>
      </c>
      <c r="V20" s="180">
        <f t="shared" ca="1" si="0"/>
        <v>4.6099999999999994</v>
      </c>
      <c r="W20" s="181">
        <f t="shared" ca="1" si="28"/>
        <v>310</v>
      </c>
      <c r="X20" s="177">
        <f t="shared" ca="1" si="10"/>
        <v>19840.803403044876</v>
      </c>
      <c r="Y20" s="12">
        <f t="shared" ca="1" si="11"/>
        <v>11636.191223557695</v>
      </c>
      <c r="Z20" s="182">
        <f t="shared" ca="1" si="12"/>
        <v>2535225.1634615385</v>
      </c>
      <c r="AA20" s="271">
        <f t="shared" ca="1" si="29"/>
        <v>0.22</v>
      </c>
      <c r="AB20" s="12">
        <f t="shared" ca="1" si="13"/>
        <v>17319.061333862181</v>
      </c>
      <c r="AC20" s="12">
        <f t="shared" ca="1" si="14"/>
        <v>17319.061333862184</v>
      </c>
      <c r="AD20" s="183"/>
      <c r="AE20" s="273">
        <f t="shared" ca="1" si="15"/>
        <v>1.6821425527395739E-3</v>
      </c>
      <c r="AF20" s="184">
        <f t="shared" ca="1" si="16"/>
        <v>0.99663854449808864</v>
      </c>
      <c r="AG20" s="12">
        <f t="shared" ca="1" si="17"/>
        <v>17260.84407985353</v>
      </c>
      <c r="AH20" s="12">
        <f t="shared" ca="1" si="18"/>
        <v>17260.844079853534</v>
      </c>
      <c r="AI20" s="185">
        <f t="shared" ca="1" si="19"/>
        <v>49</v>
      </c>
      <c r="AJ20" s="177">
        <f t="shared" ca="1" si="20"/>
        <v>49</v>
      </c>
      <c r="AK20" s="12">
        <f t="shared" ca="1" si="21"/>
        <v>-19889.803403044873</v>
      </c>
      <c r="AL20" s="185">
        <f t="shared" ca="1" si="30"/>
        <v>19840.803403044873</v>
      </c>
      <c r="AM20" s="177">
        <f t="shared" ca="1" si="31"/>
        <v>19878.339503766023</v>
      </c>
      <c r="AN20" s="177">
        <f t="shared" ca="1" si="32"/>
        <v>15369.86738853669</v>
      </c>
      <c r="AO20" s="196">
        <f t="shared" ca="1" si="33"/>
        <v>310</v>
      </c>
      <c r="AP20" s="196">
        <f t="shared" ca="1" si="34"/>
        <v>193</v>
      </c>
      <c r="AQ20" s="177">
        <f t="shared" ca="1" si="35"/>
        <v>0</v>
      </c>
      <c r="AR20" s="177">
        <f t="shared" ca="1" si="36"/>
        <v>37.536100721150433</v>
      </c>
      <c r="AS20" s="189"/>
      <c r="AT20" s="190" t="str">
        <f>"Siste radnr i tabellen: t2rTLnN"</f>
        <v>Siste radnr i tabellen: t2rTLnN</v>
      </c>
      <c r="AU20" s="190" t="str">
        <f ca="1">"Kolonnenr i tabell for " &amp; SUBSTITUTE(ADDRESS(1, t2kTnb,4),"1","") &amp; " - """ &amp; INDIRECT(ADDRESS(t2rTLn1-2, t2kTnb)) &amp; """: t2kTnb"</f>
        <v>Kolonnenr i tabell for B - "Tilleggs-nedbet.": t2kTnb</v>
      </c>
    </row>
    <row r="21" spans="1:47" x14ac:dyDescent="0.6">
      <c r="A21" s="152" t="str">
        <f t="shared" ca="1" si="1"/>
        <v>April 2025</v>
      </c>
      <c r="B21" s="191">
        <v>0</v>
      </c>
      <c r="C21" s="270">
        <f t="shared" ca="1" si="22"/>
        <v>5.4899999999999997E-2</v>
      </c>
      <c r="D21" s="192" t="str">
        <f t="shared" ca="1" si="23"/>
        <v/>
      </c>
      <c r="E21" s="193" t="str">
        <f t="shared" ca="1" si="24"/>
        <v/>
      </c>
      <c r="F21" s="194">
        <f t="shared" ca="1" si="25"/>
        <v>49</v>
      </c>
      <c r="G21" s="14">
        <v>4</v>
      </c>
      <c r="H21" s="157">
        <f t="shared" ca="1" si="26"/>
        <v>309</v>
      </c>
      <c r="I21" s="16">
        <f t="shared" ca="1" si="27"/>
        <v>19803.267302323718</v>
      </c>
      <c r="J21" s="16">
        <f t="shared" ca="1" si="2"/>
        <v>11598.655122836541</v>
      </c>
      <c r="K21" s="158">
        <f t="shared" ca="1" si="3"/>
        <v>8204.6121794871779</v>
      </c>
      <c r="L21" s="158">
        <f t="shared" ca="1" si="4"/>
        <v>2527020.551282052</v>
      </c>
      <c r="M21" s="15">
        <f t="shared" ca="1" si="5"/>
        <v>0</v>
      </c>
      <c r="N21" s="16">
        <f ca="1">IF(Y21=0, 0, ROUND(SUM(Y$17:Y21)-SUM(J$17:J21),0))</f>
        <v>0</v>
      </c>
      <c r="O21" s="16" t="str">
        <f t="shared" ca="1" si="6"/>
        <v/>
      </c>
      <c r="P21" s="16">
        <f t="shared" ca="1" si="7"/>
        <v>2470000</v>
      </c>
      <c r="Q21" s="160">
        <f t="shared" ca="1" si="8"/>
        <v>5000000</v>
      </c>
      <c r="R21" s="160">
        <f t="shared" ca="1" si="8"/>
        <v>0</v>
      </c>
      <c r="S21" s="160">
        <f t="shared" ca="1" si="8"/>
        <v>358488</v>
      </c>
      <c r="T21" s="160">
        <f t="shared" ca="1" si="8"/>
        <v>628000</v>
      </c>
      <c r="U21" s="161" t="str">
        <f t="shared" ca="1" si="9"/>
        <v/>
      </c>
      <c r="V21" s="162">
        <f t="shared" ca="1" si="0"/>
        <v>4.5999999999999996</v>
      </c>
      <c r="W21" s="195">
        <f t="shared" ca="1" si="28"/>
        <v>309</v>
      </c>
      <c r="X21" s="158">
        <f t="shared" ca="1" si="10"/>
        <v>19803.267302323715</v>
      </c>
      <c r="Y21" s="16">
        <f t="shared" ca="1" si="11"/>
        <v>11598.655122836537</v>
      </c>
      <c r="Z21" s="164">
        <f t="shared" ca="1" si="12"/>
        <v>2527020.5512820515</v>
      </c>
      <c r="AA21" s="272">
        <f t="shared" ca="1" si="29"/>
        <v>0.22</v>
      </c>
      <c r="AB21" s="16">
        <f t="shared" ca="1" si="13"/>
        <v>17289.783175299679</v>
      </c>
      <c r="AC21" s="16">
        <f t="shared" ca="1" si="14"/>
        <v>17289.783175299679</v>
      </c>
      <c r="AD21" s="197"/>
      <c r="AE21" s="274">
        <f t="shared" ca="1" si="15"/>
        <v>1.6821425527395739E-3</v>
      </c>
      <c r="AF21" s="166">
        <f t="shared" ca="1" si="16"/>
        <v>0.99496205639268798</v>
      </c>
      <c r="AG21" s="16">
        <f t="shared" ca="1" si="17"/>
        <v>17202.678222679868</v>
      </c>
      <c r="AH21" s="16">
        <f t="shared" ca="1" si="18"/>
        <v>17202.678222679868</v>
      </c>
      <c r="AI21" s="168">
        <f t="shared" ca="1" si="19"/>
        <v>49</v>
      </c>
      <c r="AJ21" s="158">
        <f t="shared" ca="1" si="20"/>
        <v>49</v>
      </c>
      <c r="AK21" s="16">
        <f t="shared" ca="1" si="21"/>
        <v>-19852.267302323718</v>
      </c>
      <c r="AL21" s="168">
        <f t="shared" ca="1" si="30"/>
        <v>19803.267302323718</v>
      </c>
      <c r="AM21" s="158">
        <f t="shared" ca="1" si="31"/>
        <v>19840.803403044873</v>
      </c>
      <c r="AN21" s="158">
        <f t="shared" ca="1" si="32"/>
        <v>15342.809941128004</v>
      </c>
      <c r="AO21" s="169">
        <f t="shared" ca="1" si="33"/>
        <v>309</v>
      </c>
      <c r="AP21" s="169">
        <f t="shared" ca="1" si="34"/>
        <v>193</v>
      </c>
      <c r="AQ21" s="158">
        <f t="shared" ca="1" si="35"/>
        <v>0</v>
      </c>
      <c r="AR21" s="158">
        <f t="shared" ca="1" si="36"/>
        <v>37.536100721154071</v>
      </c>
      <c r="AS21" s="198"/>
      <c r="AT21" s="159">
        <f>t2rTLn1-1+t2xAntAr*12</f>
        <v>377</v>
      </c>
      <c r="AU21" s="159">
        <f>COLUMN($B$16)</f>
        <v>2</v>
      </c>
    </row>
    <row r="22" spans="1:47" x14ac:dyDescent="0.6">
      <c r="A22" s="171" t="str">
        <f t="shared" ca="1" si="1"/>
        <v>Mai 2025</v>
      </c>
      <c r="B22" s="191">
        <v>0</v>
      </c>
      <c r="C22" s="269">
        <f t="shared" ca="1" si="22"/>
        <v>5.4899999999999997E-2</v>
      </c>
      <c r="D22" s="173" t="str">
        <f t="shared" ca="1" si="23"/>
        <v/>
      </c>
      <c r="E22" s="174" t="str">
        <f t="shared" ca="1" si="24"/>
        <v/>
      </c>
      <c r="F22" s="175">
        <f t="shared" ca="1" si="25"/>
        <v>49</v>
      </c>
      <c r="G22" s="10">
        <v>5</v>
      </c>
      <c r="H22" s="176">
        <f t="shared" ca="1" si="26"/>
        <v>308</v>
      </c>
      <c r="I22" s="12">
        <f t="shared" ca="1" si="27"/>
        <v>19765.731201602564</v>
      </c>
      <c r="J22" s="12">
        <f t="shared" ca="1" si="2"/>
        <v>11561.119022115387</v>
      </c>
      <c r="K22" s="177">
        <f t="shared" ca="1" si="3"/>
        <v>8204.6121794871779</v>
      </c>
      <c r="L22" s="177">
        <f t="shared" ca="1" si="4"/>
        <v>2518815.9391025649</v>
      </c>
      <c r="M22" s="11">
        <f t="shared" ca="1" si="5"/>
        <v>0</v>
      </c>
      <c r="N22" s="12">
        <f ca="1">IF(Y22=0, 0, ROUND(SUM(Y$17:Y22)-SUM(J$17:J22),0))</f>
        <v>0</v>
      </c>
      <c r="O22" s="12" t="str">
        <f t="shared" ca="1" si="6"/>
        <v/>
      </c>
      <c r="P22" s="12">
        <f t="shared" ca="1" si="7"/>
        <v>2480000</v>
      </c>
      <c r="Q22" s="178">
        <f t="shared" ca="1" si="8"/>
        <v>5000000</v>
      </c>
      <c r="R22" s="178">
        <f t="shared" ca="1" si="8"/>
        <v>0</v>
      </c>
      <c r="S22" s="178">
        <f t="shared" ca="1" si="8"/>
        <v>358488</v>
      </c>
      <c r="T22" s="178">
        <f t="shared" ca="1" si="8"/>
        <v>628000</v>
      </c>
      <c r="U22" s="179" t="str">
        <f t="shared" ca="1" si="9"/>
        <v/>
      </c>
      <c r="V22" s="180">
        <f t="shared" ca="1" si="0"/>
        <v>4.59</v>
      </c>
      <c r="W22" s="181">
        <f t="shared" ca="1" si="28"/>
        <v>308</v>
      </c>
      <c r="X22" s="177">
        <f t="shared" ca="1" si="10"/>
        <v>19765.731201602568</v>
      </c>
      <c r="Y22" s="12">
        <f t="shared" ca="1" si="11"/>
        <v>11561.119022115387</v>
      </c>
      <c r="Z22" s="182">
        <f t="shared" ca="1" si="12"/>
        <v>2518815.9391025645</v>
      </c>
      <c r="AA22" s="271">
        <f t="shared" ca="1" si="29"/>
        <v>0.22</v>
      </c>
      <c r="AB22" s="12">
        <f t="shared" ca="1" si="13"/>
        <v>17260.505016737181</v>
      </c>
      <c r="AC22" s="12">
        <f t="shared" ca="1" si="14"/>
        <v>17260.505016737181</v>
      </c>
      <c r="AD22" s="199"/>
      <c r="AE22" s="273">
        <f t="shared" ca="1" si="15"/>
        <v>1.6821425527395739E-3</v>
      </c>
      <c r="AF22" s="184">
        <f t="shared" ca="1" si="16"/>
        <v>0.99328838837926858</v>
      </c>
      <c r="AG22" s="12">
        <f t="shared" ca="1" si="17"/>
        <v>17144.659210687154</v>
      </c>
      <c r="AH22" s="12">
        <f t="shared" ca="1" si="18"/>
        <v>17144.659210687154</v>
      </c>
      <c r="AI22" s="185">
        <f t="shared" ca="1" si="19"/>
        <v>49</v>
      </c>
      <c r="AJ22" s="177">
        <f t="shared" ca="1" si="20"/>
        <v>49</v>
      </c>
      <c r="AK22" s="12">
        <f t="shared" ca="1" si="21"/>
        <v>-19814.731201602564</v>
      </c>
      <c r="AL22" s="185">
        <f t="shared" ca="1" si="30"/>
        <v>19765.731201602564</v>
      </c>
      <c r="AM22" s="177">
        <f t="shared" ca="1" si="31"/>
        <v>19803.267302323718</v>
      </c>
      <c r="AN22" s="177">
        <f t="shared" ca="1" si="32"/>
        <v>15315.775983808287</v>
      </c>
      <c r="AO22" s="196">
        <f t="shared" ca="1" si="33"/>
        <v>308</v>
      </c>
      <c r="AP22" s="196">
        <f t="shared" ca="1" si="34"/>
        <v>193</v>
      </c>
      <c r="AQ22" s="177">
        <f t="shared" ca="1" si="35"/>
        <v>0</v>
      </c>
      <c r="AR22" s="177">
        <f t="shared" ca="1" si="36"/>
        <v>37.536100721154071</v>
      </c>
      <c r="AS22" s="189"/>
      <c r="AT22" s="190" t="str">
        <f>"Maks antall år i tabellen: t2xAntAr"</f>
        <v>Maks antall år i tabellen: t2xAntAr</v>
      </c>
      <c r="AU22" s="190" t="str">
        <f ca="1">"Kolonnenr i tabell for " &amp; SUBSTITUTE(ADDRESS(1, t2kRP,4),"1","") &amp; " - """ &amp; INDIRECT(ADDRESS(t2rTLn1-2, t2kRP)) &amp; """: t2kRP"</f>
        <v>Kolonnenr i tabell for C - "Rente (nom.)": t2kRP</v>
      </c>
    </row>
    <row r="23" spans="1:47" x14ac:dyDescent="0.6">
      <c r="A23" s="152" t="str">
        <f t="shared" ca="1" si="1"/>
        <v>Juni 2025</v>
      </c>
      <c r="B23" s="191">
        <v>0</v>
      </c>
      <c r="C23" s="270">
        <f t="shared" ca="1" si="22"/>
        <v>5.4899999999999997E-2</v>
      </c>
      <c r="D23" s="192" t="str">
        <f t="shared" ca="1" si="23"/>
        <v/>
      </c>
      <c r="E23" s="193" t="str">
        <f t="shared" ca="1" si="24"/>
        <v/>
      </c>
      <c r="F23" s="194">
        <f t="shared" ca="1" si="25"/>
        <v>49</v>
      </c>
      <c r="G23" s="14">
        <v>6</v>
      </c>
      <c r="H23" s="157">
        <f t="shared" ca="1" si="26"/>
        <v>307</v>
      </c>
      <c r="I23" s="16">
        <f t="shared" ca="1" si="27"/>
        <v>19728.195100881414</v>
      </c>
      <c r="J23" s="16">
        <f t="shared" ca="1" si="2"/>
        <v>11523.582921394234</v>
      </c>
      <c r="K23" s="158">
        <f t="shared" ca="1" si="3"/>
        <v>8204.6121794871797</v>
      </c>
      <c r="L23" s="158">
        <f t="shared" ca="1" si="4"/>
        <v>2510611.3269230779</v>
      </c>
      <c r="M23" s="15">
        <f t="shared" ca="1" si="5"/>
        <v>0</v>
      </c>
      <c r="N23" s="16">
        <f ca="1">IF(Y23=0, 0, ROUND(SUM(Y$17:Y23)-SUM(J$17:J23),0))</f>
        <v>0</v>
      </c>
      <c r="O23" s="16" t="str">
        <f t="shared" ca="1" si="6"/>
        <v/>
      </c>
      <c r="P23" s="16" t="str">
        <f t="shared" ca="1" si="7"/>
        <v/>
      </c>
      <c r="Q23" s="160">
        <f t="shared" ca="1" si="8"/>
        <v>5000000</v>
      </c>
      <c r="R23" s="160">
        <f t="shared" ca="1" si="8"/>
        <v>0</v>
      </c>
      <c r="S23" s="160">
        <f t="shared" ca="1" si="8"/>
        <v>358488</v>
      </c>
      <c r="T23" s="160">
        <f t="shared" ca="1" si="8"/>
        <v>628000</v>
      </c>
      <c r="U23" s="161" t="str">
        <f t="shared" ca="1" si="9"/>
        <v/>
      </c>
      <c r="V23" s="162">
        <f t="shared" ca="1" si="0"/>
        <v>4.5699999999999994</v>
      </c>
      <c r="W23" s="195">
        <f t="shared" ca="1" si="28"/>
        <v>307</v>
      </c>
      <c r="X23" s="158">
        <f t="shared" ca="1" si="10"/>
        <v>19728.195100881414</v>
      </c>
      <c r="Y23" s="16">
        <f t="shared" ca="1" si="11"/>
        <v>11523.582921394232</v>
      </c>
      <c r="Z23" s="164">
        <f t="shared" ca="1" si="12"/>
        <v>2510611.326923077</v>
      </c>
      <c r="AA23" s="272">
        <f t="shared" ca="1" si="29"/>
        <v>0.22</v>
      </c>
      <c r="AB23" s="16">
        <f t="shared" ca="1" si="13"/>
        <v>17231.226858174683</v>
      </c>
      <c r="AC23" s="16">
        <f t="shared" ca="1" si="14"/>
        <v>17231.226858174683</v>
      </c>
      <c r="AD23" s="197"/>
      <c r="AE23" s="274">
        <f t="shared" ca="1" si="15"/>
        <v>1.6821425527395739E-3</v>
      </c>
      <c r="AF23" s="166">
        <f t="shared" ca="1" si="16"/>
        <v>0.99161753571403366</v>
      </c>
      <c r="AG23" s="16">
        <f t="shared" ca="1" si="17"/>
        <v>17086.786714432648</v>
      </c>
      <c r="AH23" s="16">
        <f t="shared" ca="1" si="18"/>
        <v>17086.786714432648</v>
      </c>
      <c r="AI23" s="168">
        <f t="shared" ca="1" si="19"/>
        <v>49</v>
      </c>
      <c r="AJ23" s="158">
        <f t="shared" ca="1" si="20"/>
        <v>49</v>
      </c>
      <c r="AK23" s="16">
        <f t="shared" ca="1" si="21"/>
        <v>-19777.195100881414</v>
      </c>
      <c r="AL23" s="168">
        <f t="shared" ca="1" si="30"/>
        <v>19728.195100881414</v>
      </c>
      <c r="AM23" s="158">
        <f t="shared" ca="1" si="31"/>
        <v>19765.731201602564</v>
      </c>
      <c r="AN23" s="158">
        <f t="shared" ca="1" si="32"/>
        <v>15288.765545706176</v>
      </c>
      <c r="AO23" s="169">
        <f t="shared" ca="1" si="33"/>
        <v>307</v>
      </c>
      <c r="AP23" s="169">
        <f t="shared" ca="1" si="34"/>
        <v>192</v>
      </c>
      <c r="AQ23" s="158">
        <f t="shared" ca="1" si="35"/>
        <v>0</v>
      </c>
      <c r="AR23" s="158">
        <f t="shared" ca="1" si="36"/>
        <v>37.536100721150433</v>
      </c>
      <c r="AS23" s="170"/>
      <c r="AT23" s="159">
        <v>30</v>
      </c>
      <c r="AU23" s="159">
        <f>COLUMN($C$16)</f>
        <v>3</v>
      </c>
    </row>
    <row r="24" spans="1:47" x14ac:dyDescent="0.6">
      <c r="A24" s="171" t="str">
        <f t="shared" ca="1" si="1"/>
        <v>Juli 2025</v>
      </c>
      <c r="B24" s="191">
        <v>0</v>
      </c>
      <c r="C24" s="269">
        <f t="shared" ca="1" si="22"/>
        <v>5.4899999999999997E-2</v>
      </c>
      <c r="D24" s="173" t="str">
        <f t="shared" ca="1" si="23"/>
        <v/>
      </c>
      <c r="E24" s="174" t="str">
        <f t="shared" ca="1" si="24"/>
        <v/>
      </c>
      <c r="F24" s="175">
        <f t="shared" ca="1" si="25"/>
        <v>49</v>
      </c>
      <c r="G24" s="10">
        <v>7</v>
      </c>
      <c r="H24" s="176">
        <f t="shared" ca="1" si="26"/>
        <v>306</v>
      </c>
      <c r="I24" s="12">
        <f t="shared" ca="1" si="27"/>
        <v>19690.65900016026</v>
      </c>
      <c r="J24" s="12">
        <f t="shared" ca="1" si="2"/>
        <v>11486.04682067308</v>
      </c>
      <c r="K24" s="177">
        <f t="shared" ca="1" si="3"/>
        <v>8204.6121794871797</v>
      </c>
      <c r="L24" s="177">
        <f t="shared" ca="1" si="4"/>
        <v>2502406.7147435909</v>
      </c>
      <c r="M24" s="11">
        <f t="shared" ca="1" si="5"/>
        <v>0</v>
      </c>
      <c r="N24" s="12">
        <f ca="1">IF(Y24=0, 0, ROUND(SUM(Y$17:Y24)-SUM(J$17:J24),0))</f>
        <v>0</v>
      </c>
      <c r="O24" s="12" t="str">
        <f t="shared" ca="1" si="6"/>
        <v/>
      </c>
      <c r="P24" s="12">
        <f t="shared" ca="1" si="7"/>
        <v>2490000</v>
      </c>
      <c r="Q24" s="178">
        <f t="shared" ca="1" si="8"/>
        <v>5000000</v>
      </c>
      <c r="R24" s="178">
        <f t="shared" ca="1" si="8"/>
        <v>0</v>
      </c>
      <c r="S24" s="178">
        <f t="shared" ca="1" si="8"/>
        <v>358488</v>
      </c>
      <c r="T24" s="178">
        <f t="shared" ca="1" si="8"/>
        <v>628000</v>
      </c>
      <c r="U24" s="179" t="str">
        <f t="shared" ca="1" si="9"/>
        <v/>
      </c>
      <c r="V24" s="180">
        <f t="shared" ca="1" si="0"/>
        <v>4.5599999999999996</v>
      </c>
      <c r="W24" s="181">
        <f t="shared" ca="1" si="28"/>
        <v>306</v>
      </c>
      <c r="X24" s="177">
        <f t="shared" ca="1" si="10"/>
        <v>19690.65900016026</v>
      </c>
      <c r="Y24" s="12">
        <f t="shared" ca="1" si="11"/>
        <v>11486.046820673078</v>
      </c>
      <c r="Z24" s="182">
        <f t="shared" ca="1" si="12"/>
        <v>2502406.71474359</v>
      </c>
      <c r="AA24" s="271">
        <f t="shared" ca="1" si="29"/>
        <v>0.22</v>
      </c>
      <c r="AB24" s="12">
        <f t="shared" ca="1" si="13"/>
        <v>17201.948699612185</v>
      </c>
      <c r="AC24" s="12">
        <f t="shared" ca="1" si="14"/>
        <v>17201.948699612185</v>
      </c>
      <c r="AD24" s="199"/>
      <c r="AE24" s="273">
        <f t="shared" ca="1" si="15"/>
        <v>1.6821425527395739E-3</v>
      </c>
      <c r="AF24" s="184">
        <f t="shared" ca="1" si="16"/>
        <v>0.98994949366116636</v>
      </c>
      <c r="AG24" s="12">
        <f t="shared" ca="1" si="17"/>
        <v>17029.060405166441</v>
      </c>
      <c r="AH24" s="12">
        <f t="shared" ca="1" si="18"/>
        <v>17029.060405166441</v>
      </c>
      <c r="AI24" s="185">
        <f t="shared" ca="1" si="19"/>
        <v>49</v>
      </c>
      <c r="AJ24" s="177">
        <f t="shared" ca="1" si="20"/>
        <v>49</v>
      </c>
      <c r="AK24" s="12">
        <f t="shared" ca="1" si="21"/>
        <v>-19739.65900016026</v>
      </c>
      <c r="AL24" s="185">
        <f t="shared" ca="1" si="30"/>
        <v>19690.65900016026</v>
      </c>
      <c r="AM24" s="177">
        <f t="shared" ca="1" si="31"/>
        <v>19728.195100881414</v>
      </c>
      <c r="AN24" s="177">
        <f t="shared" ca="1" si="32"/>
        <v>15261.778655898515</v>
      </c>
      <c r="AO24" s="196">
        <f t="shared" ca="1" si="33"/>
        <v>306</v>
      </c>
      <c r="AP24" s="196">
        <f t="shared" ca="1" si="34"/>
        <v>192</v>
      </c>
      <c r="AQ24" s="177">
        <f t="shared" ca="1" si="35"/>
        <v>0</v>
      </c>
      <c r="AR24" s="177">
        <f t="shared" ca="1" si="36"/>
        <v>37.536100721154071</v>
      </c>
      <c r="AS24" s="189"/>
      <c r="AT24" s="190" t="str">
        <f>"Første linjenøkkel i tabellen telt fra år 0: t2vTNkl1"</f>
        <v>Første linjenøkkel i tabellen telt fra år 0: t2vTNkl1</v>
      </c>
      <c r="AU24" s="190" t="str">
        <f ca="1">"Kolonnenr i tabell for " &amp; SUBSTITUTE(ADDRESS(1, t2kNTid,4),"1","") &amp; " - """ &amp; INDIRECT(ADDRESS(t2rTLn1-3, t2kNTid)) &amp; """: t2kNTid"</f>
        <v>Kolonnenr i tabell for D - "Endret nedbet.-tid (+/- ant. år)": t2kNTid</v>
      </c>
    </row>
    <row r="25" spans="1:47" x14ac:dyDescent="0.6">
      <c r="A25" s="152" t="str">
        <f t="shared" ca="1" si="1"/>
        <v>August 2025</v>
      </c>
      <c r="B25" s="191">
        <v>0</v>
      </c>
      <c r="C25" s="270">
        <f t="shared" ca="1" si="22"/>
        <v>5.4899999999999997E-2</v>
      </c>
      <c r="D25" s="192" t="str">
        <f t="shared" ca="1" si="23"/>
        <v/>
      </c>
      <c r="E25" s="193" t="str">
        <f t="shared" ca="1" si="24"/>
        <v/>
      </c>
      <c r="F25" s="194">
        <f t="shared" ca="1" si="25"/>
        <v>49</v>
      </c>
      <c r="G25" s="14">
        <v>8</v>
      </c>
      <c r="H25" s="157">
        <f t="shared" ca="1" si="26"/>
        <v>305</v>
      </c>
      <c r="I25" s="16">
        <f t="shared" ca="1" si="27"/>
        <v>19653.122899439106</v>
      </c>
      <c r="J25" s="16">
        <f t="shared" ca="1" si="2"/>
        <v>11448.510719951928</v>
      </c>
      <c r="K25" s="158">
        <f t="shared" ca="1" si="3"/>
        <v>8204.6121794871779</v>
      </c>
      <c r="L25" s="158">
        <f t="shared" ca="1" si="4"/>
        <v>2494202.1025641039</v>
      </c>
      <c r="M25" s="15">
        <f t="shared" ca="1" si="5"/>
        <v>0</v>
      </c>
      <c r="N25" s="16">
        <f ca="1">IF(Y25=0, 0, ROUND(SUM(Y$17:Y25)-SUM(J$17:J25),0))</f>
        <v>0</v>
      </c>
      <c r="O25" s="16" t="str">
        <f t="shared" ca="1" si="6"/>
        <v/>
      </c>
      <c r="P25" s="16">
        <f t="shared" ca="1" si="7"/>
        <v>2500000</v>
      </c>
      <c r="Q25" s="160">
        <f t="shared" ca="1" si="8"/>
        <v>5000000</v>
      </c>
      <c r="R25" s="160">
        <f t="shared" ca="1" si="8"/>
        <v>0</v>
      </c>
      <c r="S25" s="160">
        <f t="shared" ca="1" si="8"/>
        <v>358488</v>
      </c>
      <c r="T25" s="160">
        <f t="shared" ca="1" si="8"/>
        <v>628000</v>
      </c>
      <c r="U25" s="161" t="str">
        <f t="shared" ca="1" si="9"/>
        <v/>
      </c>
      <c r="V25" s="162">
        <f t="shared" ca="1" si="0"/>
        <v>4.55</v>
      </c>
      <c r="W25" s="195">
        <f t="shared" ca="1" si="28"/>
        <v>305</v>
      </c>
      <c r="X25" s="158">
        <f t="shared" ca="1" si="10"/>
        <v>19653.122899439106</v>
      </c>
      <c r="Y25" s="16">
        <f t="shared" ca="1" si="11"/>
        <v>11448.510719951924</v>
      </c>
      <c r="Z25" s="164">
        <f t="shared" ca="1" si="12"/>
        <v>2494202.1025641025</v>
      </c>
      <c r="AA25" s="272">
        <f t="shared" ca="1" si="29"/>
        <v>0.22</v>
      </c>
      <c r="AB25" s="16">
        <f t="shared" ca="1" si="13"/>
        <v>17172.67054104968</v>
      </c>
      <c r="AC25" s="16">
        <f t="shared" ca="1" si="14"/>
        <v>17172.670541049683</v>
      </c>
      <c r="AD25" s="197"/>
      <c r="AE25" s="274">
        <f t="shared" ca="1" si="15"/>
        <v>1.6821425527395739E-3</v>
      </c>
      <c r="AF25" s="166">
        <f t="shared" ca="1" si="16"/>
        <v>0.9882842574928159</v>
      </c>
      <c r="AG25" s="16">
        <f t="shared" ca="1" si="17"/>
        <v>16971.479954830036</v>
      </c>
      <c r="AH25" s="16">
        <f t="shared" ca="1" si="18"/>
        <v>16971.47995483004</v>
      </c>
      <c r="AI25" s="168">
        <f t="shared" ca="1" si="19"/>
        <v>49</v>
      </c>
      <c r="AJ25" s="158">
        <f t="shared" ca="1" si="20"/>
        <v>49</v>
      </c>
      <c r="AK25" s="16">
        <f t="shared" ca="1" si="21"/>
        <v>-19702.122899439106</v>
      </c>
      <c r="AL25" s="168">
        <f t="shared" ca="1" si="30"/>
        <v>19653.122899439106</v>
      </c>
      <c r="AM25" s="158">
        <f t="shared" ca="1" si="31"/>
        <v>19690.65900016026</v>
      </c>
      <c r="AN25" s="158">
        <f t="shared" ca="1" si="32"/>
        <v>15234.815343410042</v>
      </c>
      <c r="AO25" s="169">
        <f t="shared" ca="1" si="33"/>
        <v>305</v>
      </c>
      <c r="AP25" s="169">
        <f t="shared" ca="1" si="34"/>
        <v>191</v>
      </c>
      <c r="AQ25" s="158">
        <f t="shared" ca="1" si="35"/>
        <v>0</v>
      </c>
      <c r="AR25" s="158">
        <f t="shared" ca="1" si="36"/>
        <v>37.536100721154071</v>
      </c>
      <c r="AS25" s="170"/>
      <c r="AT25" s="159">
        <f ca="1">YEAR($E$5)*12+MONTH($E$5)</f>
        <v>24301</v>
      </c>
      <c r="AU25" s="159">
        <f>COLUMN($D$16)</f>
        <v>4</v>
      </c>
    </row>
    <row r="26" spans="1:47" x14ac:dyDescent="0.6">
      <c r="A26" s="171" t="str">
        <f t="shared" ca="1" si="1"/>
        <v>September 2025</v>
      </c>
      <c r="B26" s="191">
        <v>0</v>
      </c>
      <c r="C26" s="269">
        <f t="shared" ca="1" si="22"/>
        <v>5.4899999999999997E-2</v>
      </c>
      <c r="D26" s="173" t="str">
        <f t="shared" ca="1" si="23"/>
        <v/>
      </c>
      <c r="E26" s="174" t="str">
        <f t="shared" ca="1" si="24"/>
        <v/>
      </c>
      <c r="F26" s="175">
        <f t="shared" ca="1" si="25"/>
        <v>49</v>
      </c>
      <c r="G26" s="10">
        <v>9</v>
      </c>
      <c r="H26" s="176">
        <f t="shared" ca="1" si="26"/>
        <v>304</v>
      </c>
      <c r="I26" s="12">
        <f t="shared" ca="1" si="27"/>
        <v>19615.586798717952</v>
      </c>
      <c r="J26" s="12">
        <f t="shared" ca="1" si="2"/>
        <v>11410.974619230774</v>
      </c>
      <c r="K26" s="177">
        <f t="shared" ca="1" si="3"/>
        <v>8204.6121794871779</v>
      </c>
      <c r="L26" s="177">
        <f t="shared" ca="1" si="4"/>
        <v>2485997.4903846169</v>
      </c>
      <c r="M26" s="11">
        <f t="shared" ca="1" si="5"/>
        <v>0</v>
      </c>
      <c r="N26" s="12">
        <f ca="1">IF(Y26=0, 0, ROUND(SUM(Y$17:Y26)-SUM(J$17:J26),0))</f>
        <v>0</v>
      </c>
      <c r="O26" s="12" t="str">
        <f t="shared" ca="1" si="6"/>
        <v/>
      </c>
      <c r="P26" s="12">
        <f t="shared" ca="1" si="7"/>
        <v>2510000</v>
      </c>
      <c r="Q26" s="178">
        <f t="shared" ca="1" si="8"/>
        <v>5000000</v>
      </c>
      <c r="R26" s="178">
        <f t="shared" ca="1" si="8"/>
        <v>0</v>
      </c>
      <c r="S26" s="178">
        <f t="shared" ca="1" si="8"/>
        <v>358488</v>
      </c>
      <c r="T26" s="178">
        <f t="shared" ca="1" si="8"/>
        <v>628000</v>
      </c>
      <c r="U26" s="179" t="str">
        <f t="shared" ca="1" si="9"/>
        <v/>
      </c>
      <c r="V26" s="180">
        <f t="shared" ca="1" si="0"/>
        <v>4.5299999999999994</v>
      </c>
      <c r="W26" s="181">
        <f t="shared" ca="1" si="28"/>
        <v>304</v>
      </c>
      <c r="X26" s="177">
        <f t="shared" ca="1" si="10"/>
        <v>19615.586798717944</v>
      </c>
      <c r="Y26" s="12">
        <f t="shared" ca="1" si="11"/>
        <v>11410.974619230767</v>
      </c>
      <c r="Z26" s="182">
        <f t="shared" ca="1" si="12"/>
        <v>2485997.4903846155</v>
      </c>
      <c r="AA26" s="271">
        <f t="shared" ca="1" si="29"/>
        <v>0.22</v>
      </c>
      <c r="AB26" s="12">
        <f t="shared" ca="1" si="13"/>
        <v>17143.392382487182</v>
      </c>
      <c r="AC26" s="12">
        <f t="shared" ca="1" si="14"/>
        <v>17143.392382487174</v>
      </c>
      <c r="AD26" s="199"/>
      <c r="AE26" s="273">
        <f t="shared" ca="1" si="15"/>
        <v>1.6821425527395739E-3</v>
      </c>
      <c r="AF26" s="184">
        <f t="shared" ca="1" si="16"/>
        <v>0.98662182248908459</v>
      </c>
      <c r="AG26" s="12">
        <f t="shared" ca="1" si="17"/>
        <v>16914.045036054995</v>
      </c>
      <c r="AH26" s="12">
        <f t="shared" ca="1" si="18"/>
        <v>16914.045036054988</v>
      </c>
      <c r="AI26" s="185">
        <f t="shared" ca="1" si="19"/>
        <v>49</v>
      </c>
      <c r="AJ26" s="177">
        <f t="shared" ca="1" si="20"/>
        <v>49</v>
      </c>
      <c r="AK26" s="12">
        <f t="shared" ca="1" si="21"/>
        <v>-19664.586798717952</v>
      </c>
      <c r="AL26" s="185">
        <f t="shared" ca="1" si="30"/>
        <v>19615.586798717952</v>
      </c>
      <c r="AM26" s="177">
        <f t="shared" ca="1" si="31"/>
        <v>19653.122899439106</v>
      </c>
      <c r="AN26" s="177">
        <f t="shared" ca="1" si="32"/>
        <v>15207.87563721303</v>
      </c>
      <c r="AO26" s="196">
        <f t="shared" ca="1" si="33"/>
        <v>304</v>
      </c>
      <c r="AP26" s="196">
        <f t="shared" ca="1" si="34"/>
        <v>191</v>
      </c>
      <c r="AQ26" s="177">
        <f t="shared" ca="1" si="35"/>
        <v>0</v>
      </c>
      <c r="AR26" s="177">
        <f t="shared" ca="1" si="36"/>
        <v>37.536100721154071</v>
      </c>
      <c r="AS26" s="189"/>
      <c r="AT26" s="190" t="str">
        <f>"Siste linjenøkkel i tabellen telt fra år 0: t2vTNklN"</f>
        <v>Siste linjenøkkel i tabellen telt fra år 0: t2vTNklN</v>
      </c>
      <c r="AU26" s="190" t="str">
        <f ca="1">"Kolonnenr i tabell for " &amp; SUBSTITUTE(ADDRESS(1, t2kUAvd,4),"1","") &amp; " - """ &amp; INDIRECT(ADDRESS(t2rTLn1-3, t2kUAvd)) &amp; """: t2kUAvd"</f>
        <v>Kolonnenr i tabell for E - "(x) Uten avdrag": t2kUAvd</v>
      </c>
    </row>
    <row r="27" spans="1:47" x14ac:dyDescent="0.6">
      <c r="A27" s="152" t="str">
        <f t="shared" ca="1" si="1"/>
        <v>Oktober 2025</v>
      </c>
      <c r="B27" s="191">
        <v>0</v>
      </c>
      <c r="C27" s="270">
        <f t="shared" ca="1" si="22"/>
        <v>5.4899999999999997E-2</v>
      </c>
      <c r="D27" s="192" t="str">
        <f t="shared" ca="1" si="23"/>
        <v/>
      </c>
      <c r="E27" s="193" t="str">
        <f t="shared" ca="1" si="24"/>
        <v/>
      </c>
      <c r="F27" s="194">
        <f t="shared" ca="1" si="25"/>
        <v>49</v>
      </c>
      <c r="G27" s="14">
        <v>10</v>
      </c>
      <c r="H27" s="157">
        <f t="shared" ca="1" si="26"/>
        <v>303</v>
      </c>
      <c r="I27" s="16">
        <f t="shared" ca="1" si="27"/>
        <v>19578.050697996801</v>
      </c>
      <c r="J27" s="16">
        <f t="shared" ca="1" si="2"/>
        <v>11373.438518509623</v>
      </c>
      <c r="K27" s="158">
        <f t="shared" ca="1" si="3"/>
        <v>8204.6121794871779</v>
      </c>
      <c r="L27" s="158">
        <f t="shared" ca="1" si="4"/>
        <v>2477792.8782051299</v>
      </c>
      <c r="M27" s="15">
        <f t="shared" ca="1" si="5"/>
        <v>0</v>
      </c>
      <c r="N27" s="16">
        <f ca="1">IF(Y27=0, 0, ROUND(SUM(Y$17:Y27)-SUM(J$17:J27),0))</f>
        <v>0</v>
      </c>
      <c r="O27" s="16" t="str">
        <f t="shared" ca="1" si="6"/>
        <v/>
      </c>
      <c r="P27" s="16">
        <f t="shared" ca="1" si="7"/>
        <v>2520000</v>
      </c>
      <c r="Q27" s="160">
        <f t="shared" ca="1" si="8"/>
        <v>5000000</v>
      </c>
      <c r="R27" s="160">
        <f t="shared" ca="1" si="8"/>
        <v>0</v>
      </c>
      <c r="S27" s="160">
        <f t="shared" ca="1" si="8"/>
        <v>358488</v>
      </c>
      <c r="T27" s="160">
        <f t="shared" ca="1" si="8"/>
        <v>628000</v>
      </c>
      <c r="U27" s="161" t="str">
        <f t="shared" ca="1" si="9"/>
        <v/>
      </c>
      <c r="V27" s="162">
        <f t="shared" ca="1" si="0"/>
        <v>4.5199999999999996</v>
      </c>
      <c r="W27" s="195">
        <f t="shared" ca="1" si="28"/>
        <v>303</v>
      </c>
      <c r="X27" s="158">
        <f t="shared" ca="1" si="10"/>
        <v>19578.050697996798</v>
      </c>
      <c r="Y27" s="16">
        <f t="shared" ca="1" si="11"/>
        <v>11373.438518509616</v>
      </c>
      <c r="Z27" s="164">
        <f t="shared" ca="1" si="12"/>
        <v>2477792.8782051285</v>
      </c>
      <c r="AA27" s="272">
        <f t="shared" ca="1" si="29"/>
        <v>0.22</v>
      </c>
      <c r="AB27" s="16">
        <f t="shared" ca="1" si="13"/>
        <v>17114.114223924684</v>
      </c>
      <c r="AC27" s="16">
        <f t="shared" ca="1" si="14"/>
        <v>17114.114223924684</v>
      </c>
      <c r="AD27" s="197"/>
      <c r="AE27" s="274">
        <f t="shared" ca="1" si="15"/>
        <v>1.6821425527395739E-3</v>
      </c>
      <c r="AF27" s="166">
        <f t="shared" ca="1" si="16"/>
        <v>0.98496218393801427</v>
      </c>
      <c r="AG27" s="16">
        <f t="shared" ca="1" si="17"/>
        <v>16856.755322161491</v>
      </c>
      <c r="AH27" s="16">
        <f t="shared" ca="1" si="18"/>
        <v>16856.755322161491</v>
      </c>
      <c r="AI27" s="168">
        <f t="shared" ca="1" si="19"/>
        <v>49</v>
      </c>
      <c r="AJ27" s="158">
        <f t="shared" ca="1" si="20"/>
        <v>49</v>
      </c>
      <c r="AK27" s="16">
        <f t="shared" ca="1" si="21"/>
        <v>-19627.050697996801</v>
      </c>
      <c r="AL27" s="168">
        <f t="shared" ca="1" si="30"/>
        <v>19578.050697996801</v>
      </c>
      <c r="AM27" s="158">
        <f t="shared" ca="1" si="31"/>
        <v>19615.586798717952</v>
      </c>
      <c r="AN27" s="158">
        <f t="shared" ca="1" si="32"/>
        <v>15180.959566226951</v>
      </c>
      <c r="AO27" s="169">
        <f t="shared" ca="1" si="33"/>
        <v>303</v>
      </c>
      <c r="AP27" s="169">
        <f t="shared" ca="1" si="34"/>
        <v>190</v>
      </c>
      <c r="AQ27" s="158">
        <f t="shared" ca="1" si="35"/>
        <v>0</v>
      </c>
      <c r="AR27" s="158">
        <f t="shared" ca="1" si="36"/>
        <v>37.536100721150433</v>
      </c>
      <c r="AS27" s="170"/>
      <c r="AT27" s="159">
        <f ca="1">t2vTNkl1+t2xAntAr*12-1</f>
        <v>24660</v>
      </c>
      <c r="AU27" s="159">
        <f>COLUMN($E$16)</f>
        <v>5</v>
      </c>
    </row>
    <row r="28" spans="1:47" x14ac:dyDescent="0.6">
      <c r="A28" s="171" t="str">
        <f t="shared" ca="1" si="1"/>
        <v>November 2025</v>
      </c>
      <c r="B28" s="191">
        <v>0</v>
      </c>
      <c r="C28" s="269">
        <f t="shared" ca="1" si="22"/>
        <v>5.4899999999999997E-2</v>
      </c>
      <c r="D28" s="173" t="str">
        <f t="shared" ca="1" si="23"/>
        <v/>
      </c>
      <c r="E28" s="174" t="str">
        <f t="shared" ca="1" si="24"/>
        <v/>
      </c>
      <c r="F28" s="175">
        <f t="shared" ca="1" si="25"/>
        <v>49</v>
      </c>
      <c r="G28" s="10">
        <v>11</v>
      </c>
      <c r="H28" s="176">
        <f t="shared" ca="1" si="26"/>
        <v>302</v>
      </c>
      <c r="I28" s="12">
        <f t="shared" ca="1" si="27"/>
        <v>19540.514597275647</v>
      </c>
      <c r="J28" s="12">
        <f t="shared" ca="1" si="2"/>
        <v>11335.902417788469</v>
      </c>
      <c r="K28" s="177">
        <f t="shared" ca="1" si="3"/>
        <v>8204.6121794871779</v>
      </c>
      <c r="L28" s="177">
        <f t="shared" ca="1" si="4"/>
        <v>2469588.2660256429</v>
      </c>
      <c r="M28" s="11">
        <f t="shared" ca="1" si="5"/>
        <v>0</v>
      </c>
      <c r="N28" s="12">
        <f ca="1">IF(Y28=0, 0, ROUND(SUM(Y$17:Y28)-SUM(J$17:J28),0))</f>
        <v>0</v>
      </c>
      <c r="O28" s="12" t="str">
        <f t="shared" ca="1" si="6"/>
        <v/>
      </c>
      <c r="P28" s="12">
        <f t="shared" ca="1" si="7"/>
        <v>2530000</v>
      </c>
      <c r="Q28" s="178">
        <f t="shared" ca="1" si="8"/>
        <v>5000000</v>
      </c>
      <c r="R28" s="178">
        <f t="shared" ca="1" si="8"/>
        <v>0</v>
      </c>
      <c r="S28" s="178">
        <f t="shared" ca="1" si="8"/>
        <v>358488</v>
      </c>
      <c r="T28" s="178">
        <f t="shared" ca="1" si="8"/>
        <v>628000</v>
      </c>
      <c r="U28" s="179" t="str">
        <f t="shared" ca="1" si="9"/>
        <v/>
      </c>
      <c r="V28" s="180">
        <f t="shared" ca="1" si="0"/>
        <v>4.51</v>
      </c>
      <c r="W28" s="181">
        <f t="shared" ca="1" si="28"/>
        <v>302</v>
      </c>
      <c r="X28" s="177">
        <f t="shared" ca="1" si="10"/>
        <v>19540.514597275644</v>
      </c>
      <c r="Y28" s="12">
        <f t="shared" ca="1" si="11"/>
        <v>11335.902417788462</v>
      </c>
      <c r="Z28" s="182">
        <f t="shared" ca="1" si="12"/>
        <v>2469588.266025641</v>
      </c>
      <c r="AA28" s="271">
        <f t="shared" ca="1" si="29"/>
        <v>0.22</v>
      </c>
      <c r="AB28" s="12">
        <f t="shared" ca="1" si="13"/>
        <v>17084.836065362186</v>
      </c>
      <c r="AC28" s="12">
        <f t="shared" ca="1" si="14"/>
        <v>17084.836065362182</v>
      </c>
      <c r="AD28" s="199"/>
      <c r="AE28" s="273">
        <f t="shared" ca="1" si="15"/>
        <v>1.6821425527395739E-3</v>
      </c>
      <c r="AF28" s="184">
        <f t="shared" ca="1" si="16"/>
        <v>0.98330533713557278</v>
      </c>
      <c r="AG28" s="12">
        <f t="shared" ca="1" si="17"/>
        <v>16799.610487156955</v>
      </c>
      <c r="AH28" s="12">
        <f t="shared" ca="1" si="18"/>
        <v>16799.610487156951</v>
      </c>
      <c r="AI28" s="185">
        <f t="shared" ca="1" si="19"/>
        <v>49</v>
      </c>
      <c r="AJ28" s="177">
        <f t="shared" ca="1" si="20"/>
        <v>49</v>
      </c>
      <c r="AK28" s="12">
        <f t="shared" ca="1" si="21"/>
        <v>-19589.514597275647</v>
      </c>
      <c r="AL28" s="185">
        <f t="shared" ca="1" si="30"/>
        <v>19540.514597275647</v>
      </c>
      <c r="AM28" s="177">
        <f t="shared" ca="1" si="31"/>
        <v>19578.050697996801</v>
      </c>
      <c r="AN28" s="177">
        <f t="shared" ca="1" si="32"/>
        <v>15154.067159318127</v>
      </c>
      <c r="AO28" s="196">
        <f t="shared" ca="1" si="33"/>
        <v>302</v>
      </c>
      <c r="AP28" s="196">
        <f t="shared" ca="1" si="34"/>
        <v>190</v>
      </c>
      <c r="AQ28" s="177">
        <f t="shared" ca="1" si="35"/>
        <v>0</v>
      </c>
      <c r="AR28" s="177">
        <f t="shared" ca="1" si="36"/>
        <v>37.536100721154071</v>
      </c>
      <c r="AS28" s="189"/>
      <c r="AT28" s="190" t="str">
        <f>"Siste årstall i tabellen: t2vArN"</f>
        <v>Siste årstall i tabellen: t2vArN</v>
      </c>
      <c r="AU28" s="190" t="str">
        <f ca="1">"Kolonnenr i tabell for " &amp; SUBSTITUTE(ADDRESS(1, t2kTG,4),"1","") &amp; " - """ &amp; INDIRECT(ADDRESS(t2rTLn1-3, t2kTG)) &amp; """: t2kTG"</f>
        <v>Kolonnenr i tabell for F - "Termin-gebyr": t2kTG</v>
      </c>
    </row>
    <row r="29" spans="1:47" x14ac:dyDescent="0.6">
      <c r="A29" s="152" t="str">
        <f t="shared" ca="1" si="1"/>
        <v>Desember 2025</v>
      </c>
      <c r="B29" s="191">
        <v>0</v>
      </c>
      <c r="C29" s="270">
        <f t="shared" ca="1" si="22"/>
        <v>5.4899999999999997E-2</v>
      </c>
      <c r="D29" s="192" t="str">
        <f t="shared" ca="1" si="23"/>
        <v/>
      </c>
      <c r="E29" s="193" t="str">
        <f t="shared" ca="1" si="24"/>
        <v/>
      </c>
      <c r="F29" s="194">
        <f t="shared" ca="1" si="25"/>
        <v>49</v>
      </c>
      <c r="G29" s="14">
        <v>12</v>
      </c>
      <c r="H29" s="157">
        <f t="shared" ca="1" si="26"/>
        <v>301</v>
      </c>
      <c r="I29" s="16">
        <f t="shared" ca="1" si="27"/>
        <v>19502.978496554493</v>
      </c>
      <c r="J29" s="16">
        <f t="shared" ca="1" si="2"/>
        <v>11298.366317067315</v>
      </c>
      <c r="K29" s="158">
        <f t="shared" ca="1" si="3"/>
        <v>8204.6121794871779</v>
      </c>
      <c r="L29" s="158">
        <f t="shared" ca="1" si="4"/>
        <v>2461383.6538461559</v>
      </c>
      <c r="M29" s="15">
        <f t="shared" ca="1" si="5"/>
        <v>0</v>
      </c>
      <c r="N29" s="16">
        <f ca="1">IF(Y29=0, 0, ROUND(SUM(Y$17:Y29)-SUM(J$17:J29),0))</f>
        <v>0</v>
      </c>
      <c r="O29" s="16" t="str">
        <f t="shared" ca="1" si="6"/>
        <v/>
      </c>
      <c r="P29" s="16" t="str">
        <f t="shared" ca="1" si="7"/>
        <v/>
      </c>
      <c r="Q29" s="160">
        <f t="shared" ca="1" si="8"/>
        <v>5000000</v>
      </c>
      <c r="R29" s="160">
        <f t="shared" ca="1" si="8"/>
        <v>0</v>
      </c>
      <c r="S29" s="160">
        <f t="shared" ca="1" si="8"/>
        <v>358488</v>
      </c>
      <c r="T29" s="160">
        <f t="shared" ca="1" si="8"/>
        <v>628000</v>
      </c>
      <c r="U29" s="161" t="str">
        <f t="shared" ca="1" si="9"/>
        <v/>
      </c>
      <c r="V29" s="162">
        <f t="shared" ca="1" si="0"/>
        <v>4.5</v>
      </c>
      <c r="W29" s="195">
        <f t="shared" ca="1" si="28"/>
        <v>301</v>
      </c>
      <c r="X29" s="158">
        <f t="shared" ca="1" si="10"/>
        <v>19502.97849655449</v>
      </c>
      <c r="Y29" s="16">
        <f t="shared" ca="1" si="11"/>
        <v>11298.366317067308</v>
      </c>
      <c r="Z29" s="164">
        <f t="shared" ca="1" si="12"/>
        <v>2461383.653846154</v>
      </c>
      <c r="AA29" s="272">
        <f t="shared" ca="1" si="29"/>
        <v>0.22</v>
      </c>
      <c r="AB29" s="16">
        <f t="shared" ca="1" si="13"/>
        <v>17055.557906799684</v>
      </c>
      <c r="AC29" s="16">
        <f t="shared" ca="1" si="14"/>
        <v>17055.55790679968</v>
      </c>
      <c r="AD29" s="197"/>
      <c r="AE29" s="274">
        <f t="shared" ca="1" si="15"/>
        <v>1.6821425527395739E-3</v>
      </c>
      <c r="AF29" s="166">
        <f t="shared" ca="1" si="16"/>
        <v>0.98165127738564106</v>
      </c>
      <c r="AG29" s="16">
        <f t="shared" ca="1" si="17"/>
        <v>16742.61020573468</v>
      </c>
      <c r="AH29" s="16">
        <f t="shared" ca="1" si="18"/>
        <v>16742.610205734676</v>
      </c>
      <c r="AI29" s="168">
        <f t="shared" ca="1" si="19"/>
        <v>49</v>
      </c>
      <c r="AJ29" s="158">
        <f t="shared" ca="1" si="20"/>
        <v>49</v>
      </c>
      <c r="AK29" s="16">
        <f t="shared" ca="1" si="21"/>
        <v>-19551.978496554493</v>
      </c>
      <c r="AL29" s="168">
        <f t="shared" ca="1" si="30"/>
        <v>19502.978496554493</v>
      </c>
      <c r="AM29" s="158">
        <f t="shared" ca="1" si="31"/>
        <v>19540.514597275647</v>
      </c>
      <c r="AN29" s="158">
        <f t="shared" ca="1" si="32"/>
        <v>15127.198445299395</v>
      </c>
      <c r="AO29" s="169">
        <f t="shared" ca="1" si="33"/>
        <v>301</v>
      </c>
      <c r="AP29" s="169">
        <f t="shared" ca="1" si="34"/>
        <v>190</v>
      </c>
      <c r="AQ29" s="158">
        <f t="shared" ca="1" si="35"/>
        <v>0</v>
      </c>
      <c r="AR29" s="158">
        <f t="shared" ca="1" si="36"/>
        <v>37.536100721154071</v>
      </c>
      <c r="AS29" s="170"/>
      <c r="AT29" s="159">
        <f ca="1">INT((t2vTNkl1-2+t2xAntAr*12)/12)</f>
        <v>2054</v>
      </c>
      <c r="AU29" s="159">
        <f>COLUMN($F$16)</f>
        <v>6</v>
      </c>
    </row>
    <row r="30" spans="1:47" x14ac:dyDescent="0.6">
      <c r="A30" s="171" t="str">
        <f t="shared" ca="1" si="1"/>
        <v>Januar 2026</v>
      </c>
      <c r="B30" s="191">
        <v>0</v>
      </c>
      <c r="C30" s="269">
        <f t="shared" ca="1" si="22"/>
        <v>5.4899999999999997E-2</v>
      </c>
      <c r="D30" s="173" t="str">
        <f t="shared" ca="1" si="23"/>
        <v/>
      </c>
      <c r="E30" s="174" t="str">
        <f t="shared" ca="1" si="24"/>
        <v/>
      </c>
      <c r="F30" s="175">
        <f t="shared" ca="1" si="25"/>
        <v>49</v>
      </c>
      <c r="G30" s="10">
        <v>13</v>
      </c>
      <c r="H30" s="176">
        <f t="shared" ca="1" si="26"/>
        <v>300</v>
      </c>
      <c r="I30" s="12">
        <f t="shared" ca="1" si="27"/>
        <v>19465.442395833343</v>
      </c>
      <c r="J30" s="12">
        <f t="shared" ca="1" si="2"/>
        <v>11260.830216346163</v>
      </c>
      <c r="K30" s="177">
        <f t="shared" ca="1" si="3"/>
        <v>8204.6121794871797</v>
      </c>
      <c r="L30" s="177">
        <f t="shared" ca="1" si="4"/>
        <v>2453179.0416666688</v>
      </c>
      <c r="M30" s="11">
        <f t="shared" ca="1" si="5"/>
        <v>0</v>
      </c>
      <c r="N30" s="12">
        <f ca="1">IF(Y30=0, 0, ROUND(SUM(Y$17:Y30)-SUM(J$17:J30),0))</f>
        <v>0</v>
      </c>
      <c r="O30" s="12" t="str">
        <f t="shared" ca="1" si="6"/>
        <v/>
      </c>
      <c r="P30" s="12">
        <f t="shared" ca="1" si="7"/>
        <v>2540000</v>
      </c>
      <c r="Q30" s="178">
        <f t="shared" ca="1" si="8"/>
        <v>5000000</v>
      </c>
      <c r="R30" s="178">
        <f t="shared" ca="1" si="8"/>
        <v>0</v>
      </c>
      <c r="S30" s="178">
        <f t="shared" ca="1" si="8"/>
        <v>358488</v>
      </c>
      <c r="T30" s="178">
        <f t="shared" ca="1" si="8"/>
        <v>628000</v>
      </c>
      <c r="U30" s="179" t="str">
        <f t="shared" ca="1" si="9"/>
        <v/>
      </c>
      <c r="V30" s="180">
        <f t="shared" ca="1" si="0"/>
        <v>4.4799999999999995</v>
      </c>
      <c r="W30" s="181">
        <f t="shared" ca="1" si="28"/>
        <v>300</v>
      </c>
      <c r="X30" s="177">
        <f t="shared" ca="1" si="10"/>
        <v>19465.442395833335</v>
      </c>
      <c r="Y30" s="12">
        <f t="shared" ca="1" si="11"/>
        <v>11260.830216346154</v>
      </c>
      <c r="Z30" s="182">
        <f t="shared" ca="1" si="12"/>
        <v>2453179.041666667</v>
      </c>
      <c r="AA30" s="271">
        <f t="shared" ca="1" si="29"/>
        <v>0.22</v>
      </c>
      <c r="AB30" s="12">
        <f t="shared" ca="1" si="13"/>
        <v>17026.27974823719</v>
      </c>
      <c r="AC30" s="12">
        <f t="shared" ca="1" si="14"/>
        <v>17026.279748237183</v>
      </c>
      <c r="AD30" s="199"/>
      <c r="AE30" s="273">
        <f t="shared" ca="1" si="15"/>
        <v>1.6821425527395739E-3</v>
      </c>
      <c r="AF30" s="184">
        <f t="shared" ca="1" si="16"/>
        <v>0.97999999999999954</v>
      </c>
      <c r="AG30" s="12">
        <f t="shared" ca="1" si="17"/>
        <v>16685.754153272439</v>
      </c>
      <c r="AH30" s="12">
        <f t="shared" ca="1" si="18"/>
        <v>16685.754153272432</v>
      </c>
      <c r="AI30" s="185">
        <f t="shared" ca="1" si="19"/>
        <v>49</v>
      </c>
      <c r="AJ30" s="177">
        <f t="shared" ca="1" si="20"/>
        <v>49</v>
      </c>
      <c r="AK30" s="12">
        <f t="shared" ca="1" si="21"/>
        <v>-19514.442395833343</v>
      </c>
      <c r="AL30" s="185">
        <f t="shared" ca="1" si="30"/>
        <v>19465.442395833343</v>
      </c>
      <c r="AM30" s="177">
        <f t="shared" ca="1" si="31"/>
        <v>19502.978496554493</v>
      </c>
      <c r="AN30" s="177">
        <f t="shared" ca="1" si="32"/>
        <v>15100.353452929767</v>
      </c>
      <c r="AO30" s="196">
        <f t="shared" ca="1" si="33"/>
        <v>300</v>
      </c>
      <c r="AP30" s="196">
        <f t="shared" ca="1" si="34"/>
        <v>189</v>
      </c>
      <c r="AQ30" s="177">
        <f t="shared" ca="1" si="35"/>
        <v>0</v>
      </c>
      <c r="AR30" s="177">
        <f t="shared" ca="1" si="36"/>
        <v>37.536100721150433</v>
      </c>
      <c r="AS30" s="189"/>
      <c r="AT30" s="190" t="str">
        <f>"Antall linjer i tabellen for første årstall: t2vAntTAr1"</f>
        <v>Antall linjer i tabellen for første årstall: t2vAntTAr1</v>
      </c>
      <c r="AU30" s="190" t="str">
        <f ca="1">"Kolonnenr i tabell for " &amp; SUBSTITUTE(ADDRESS(1, t2kTNr,4),"1","") &amp; " - """ &amp; INDIRECT(ADDRESS(t2rTLn1-3, t2kTNr)) &amp; """: t2kTNr"</f>
        <v>Kolonnenr i tabell for G - "Termin": t2kTNr</v>
      </c>
    </row>
    <row r="31" spans="1:47" x14ac:dyDescent="0.6">
      <c r="A31" s="152" t="str">
        <f t="shared" ca="1" si="1"/>
        <v>Februar 2026</v>
      </c>
      <c r="B31" s="191">
        <v>0</v>
      </c>
      <c r="C31" s="270">
        <f t="shared" ca="1" si="22"/>
        <v>5.4899999999999997E-2</v>
      </c>
      <c r="D31" s="192" t="str">
        <f t="shared" ca="1" si="23"/>
        <v/>
      </c>
      <c r="E31" s="193" t="str">
        <f t="shared" ca="1" si="24"/>
        <v/>
      </c>
      <c r="F31" s="194">
        <f t="shared" ca="1" si="25"/>
        <v>49</v>
      </c>
      <c r="G31" s="14">
        <v>14</v>
      </c>
      <c r="H31" s="157">
        <f t="shared" ca="1" si="26"/>
        <v>299</v>
      </c>
      <c r="I31" s="16">
        <f t="shared" ca="1" si="27"/>
        <v>19427.906295112189</v>
      </c>
      <c r="J31" s="16">
        <f t="shared" ca="1" si="2"/>
        <v>11223.294115625009</v>
      </c>
      <c r="K31" s="158">
        <f t="shared" ca="1" si="3"/>
        <v>8204.6121794871797</v>
      </c>
      <c r="L31" s="158">
        <f t="shared" ca="1" si="4"/>
        <v>2444974.4294871818</v>
      </c>
      <c r="M31" s="15">
        <f t="shared" ca="1" si="5"/>
        <v>0</v>
      </c>
      <c r="N31" s="16">
        <f ca="1">IF(Y31=0, 0, ROUND(SUM(Y$17:Y31)-SUM(J$17:J31),0))</f>
        <v>0</v>
      </c>
      <c r="O31" s="16" t="str">
        <f t="shared" ca="1" si="6"/>
        <v/>
      </c>
      <c r="P31" s="16">
        <f t="shared" ca="1" si="7"/>
        <v>2550000</v>
      </c>
      <c r="Q31" s="160">
        <f t="shared" ca="1" si="8"/>
        <v>5000000</v>
      </c>
      <c r="R31" s="160">
        <f t="shared" ca="1" si="8"/>
        <v>0</v>
      </c>
      <c r="S31" s="160">
        <f t="shared" ca="1" si="8"/>
        <v>358488</v>
      </c>
      <c r="T31" s="160">
        <f t="shared" ca="1" si="8"/>
        <v>628000</v>
      </c>
      <c r="U31" s="161" t="str">
        <f t="shared" ca="1" si="9"/>
        <v/>
      </c>
      <c r="V31" s="162">
        <f t="shared" ca="1" si="0"/>
        <v>4.47</v>
      </c>
      <c r="W31" s="195">
        <f t="shared" ca="1" si="28"/>
        <v>299</v>
      </c>
      <c r="X31" s="158">
        <f t="shared" ca="1" si="10"/>
        <v>19427.906295112181</v>
      </c>
      <c r="Y31" s="16">
        <f t="shared" ca="1" si="11"/>
        <v>11223.294115625002</v>
      </c>
      <c r="Z31" s="164">
        <f t="shared" ca="1" si="12"/>
        <v>2444974.4294871795</v>
      </c>
      <c r="AA31" s="272">
        <f t="shared" ca="1" si="29"/>
        <v>0.22</v>
      </c>
      <c r="AB31" s="16">
        <f t="shared" ca="1" si="13"/>
        <v>16997.001589674685</v>
      </c>
      <c r="AC31" s="16">
        <f t="shared" ca="1" si="14"/>
        <v>16997.001589674681</v>
      </c>
      <c r="AD31" s="197"/>
      <c r="AE31" s="274">
        <f t="shared" ca="1" si="15"/>
        <v>1.6821425527395739E-3</v>
      </c>
      <c r="AF31" s="166">
        <f t="shared" ca="1" si="16"/>
        <v>0.97835150029831475</v>
      </c>
      <c r="AG31" s="16">
        <f t="shared" ca="1" si="17"/>
        <v>16629.04200583107</v>
      </c>
      <c r="AH31" s="16">
        <f t="shared" ca="1" si="18"/>
        <v>16629.042005831066</v>
      </c>
      <c r="AI31" s="168">
        <f t="shared" ca="1" si="19"/>
        <v>49</v>
      </c>
      <c r="AJ31" s="158">
        <f t="shared" ca="1" si="20"/>
        <v>49</v>
      </c>
      <c r="AK31" s="16">
        <f t="shared" ca="1" si="21"/>
        <v>-19476.906295112189</v>
      </c>
      <c r="AL31" s="168">
        <f t="shared" ca="1" si="30"/>
        <v>19427.906295112189</v>
      </c>
      <c r="AM31" s="158">
        <f t="shared" ca="1" si="31"/>
        <v>19465.442395833343</v>
      </c>
      <c r="AN31" s="158">
        <f t="shared" ca="1" si="32"/>
        <v>15073.532210914078</v>
      </c>
      <c r="AO31" s="169">
        <f t="shared" ca="1" si="33"/>
        <v>299</v>
      </c>
      <c r="AP31" s="169">
        <f t="shared" ca="1" si="34"/>
        <v>189</v>
      </c>
      <c r="AQ31" s="158">
        <f t="shared" ca="1" si="35"/>
        <v>0</v>
      </c>
      <c r="AR31" s="158">
        <f t="shared" ca="1" si="36"/>
        <v>37.536100721154071</v>
      </c>
      <c r="AS31" s="170"/>
      <c r="AT31" s="159">
        <f ca="1">(12-MONTH($E$5)+1)</f>
        <v>12</v>
      </c>
      <c r="AU31" s="159">
        <f>COLUMN($G$16)</f>
        <v>7</v>
      </c>
    </row>
    <row r="32" spans="1:47" x14ac:dyDescent="0.6">
      <c r="A32" s="171" t="str">
        <f t="shared" ca="1" si="1"/>
        <v>Mars 2026</v>
      </c>
      <c r="B32" s="191">
        <v>0</v>
      </c>
      <c r="C32" s="269">
        <f t="shared" ca="1" si="22"/>
        <v>5.4899999999999997E-2</v>
      </c>
      <c r="D32" s="173" t="str">
        <f t="shared" ca="1" si="23"/>
        <v/>
      </c>
      <c r="E32" s="174" t="str">
        <f t="shared" ca="1" si="24"/>
        <v/>
      </c>
      <c r="F32" s="175">
        <f t="shared" ca="1" si="25"/>
        <v>49</v>
      </c>
      <c r="G32" s="10">
        <v>15</v>
      </c>
      <c r="H32" s="176">
        <f t="shared" ca="1" si="26"/>
        <v>298</v>
      </c>
      <c r="I32" s="12">
        <f t="shared" ca="1" si="27"/>
        <v>19390.370194391035</v>
      </c>
      <c r="J32" s="12">
        <f t="shared" ca="1" si="2"/>
        <v>11185.758014903857</v>
      </c>
      <c r="K32" s="177">
        <f t="shared" ca="1" si="3"/>
        <v>8204.6121794871779</v>
      </c>
      <c r="L32" s="177">
        <f t="shared" ca="1" si="4"/>
        <v>2436769.8173076948</v>
      </c>
      <c r="M32" s="11">
        <f t="shared" ca="1" si="5"/>
        <v>0</v>
      </c>
      <c r="N32" s="12">
        <f ca="1">IF(Y32=0, 0, ROUND(SUM(Y$17:Y32)-SUM(J$17:J32),0))</f>
        <v>0</v>
      </c>
      <c r="O32" s="12" t="str">
        <f t="shared" ca="1" si="6"/>
        <v/>
      </c>
      <c r="P32" s="12">
        <f t="shared" ca="1" si="7"/>
        <v>2560000</v>
      </c>
      <c r="Q32" s="178">
        <f t="shared" ca="1" si="8"/>
        <v>5000000</v>
      </c>
      <c r="R32" s="178">
        <f t="shared" ca="1" si="8"/>
        <v>0</v>
      </c>
      <c r="S32" s="178">
        <f t="shared" ca="1" si="8"/>
        <v>358488</v>
      </c>
      <c r="T32" s="178">
        <f t="shared" ca="1" si="8"/>
        <v>628000</v>
      </c>
      <c r="U32" s="179" t="str">
        <f t="shared" ca="1" si="9"/>
        <v/>
      </c>
      <c r="V32" s="180">
        <f t="shared" ca="1" si="0"/>
        <v>4.46</v>
      </c>
      <c r="W32" s="181">
        <f t="shared" ca="1" si="28"/>
        <v>298</v>
      </c>
      <c r="X32" s="177">
        <f t="shared" ca="1" si="10"/>
        <v>19390.370194391027</v>
      </c>
      <c r="Y32" s="12">
        <f t="shared" ca="1" si="11"/>
        <v>11185.758014903846</v>
      </c>
      <c r="Z32" s="182">
        <f t="shared" ca="1" si="12"/>
        <v>2436769.8173076925</v>
      </c>
      <c r="AA32" s="271">
        <f t="shared" ca="1" si="29"/>
        <v>0.22</v>
      </c>
      <c r="AB32" s="12">
        <f t="shared" ca="1" si="13"/>
        <v>16967.723431112187</v>
      </c>
      <c r="AC32" s="12">
        <f t="shared" ca="1" si="14"/>
        <v>16967.723431112179</v>
      </c>
      <c r="AD32" s="199"/>
      <c r="AE32" s="273">
        <f t="shared" ca="1" si="15"/>
        <v>1.6821425527395739E-3</v>
      </c>
      <c r="AF32" s="184">
        <f t="shared" ca="1" si="16"/>
        <v>0.97670577360812638</v>
      </c>
      <c r="AG32" s="12">
        <f t="shared" ca="1" si="17"/>
        <v>16572.47344015316</v>
      </c>
      <c r="AH32" s="12">
        <f t="shared" ca="1" si="18"/>
        <v>16572.473440153153</v>
      </c>
      <c r="AI32" s="185">
        <f t="shared" ca="1" si="19"/>
        <v>49</v>
      </c>
      <c r="AJ32" s="177">
        <f t="shared" ca="1" si="20"/>
        <v>49</v>
      </c>
      <c r="AK32" s="12">
        <f t="shared" ca="1" si="21"/>
        <v>-19439.370194391035</v>
      </c>
      <c r="AL32" s="185">
        <f t="shared" ca="1" si="30"/>
        <v>19390.370194391035</v>
      </c>
      <c r="AM32" s="177">
        <f t="shared" ca="1" si="31"/>
        <v>19427.906295112189</v>
      </c>
      <c r="AN32" s="177">
        <f t="shared" ca="1" si="32"/>
        <v>15046.734747902652</v>
      </c>
      <c r="AO32" s="196">
        <f t="shared" ca="1" si="33"/>
        <v>298</v>
      </c>
      <c r="AP32" s="196">
        <f t="shared" ca="1" si="34"/>
        <v>188</v>
      </c>
      <c r="AQ32" s="177">
        <f t="shared" ca="1" si="35"/>
        <v>0</v>
      </c>
      <c r="AR32" s="177">
        <f t="shared" ca="1" si="36"/>
        <v>37.536100721154071</v>
      </c>
      <c r="AS32" s="189"/>
      <c r="AT32" s="190" t="str">
        <f>"Antall linjer i tabellen for siste årstall: t2vAntTArN"</f>
        <v>Antall linjer i tabellen for siste årstall: t2vAntTArN</v>
      </c>
      <c r="AU32" s="190" t="str">
        <f ca="1">"Kolonnenr i tabell for " &amp; SUBSTITUTE(ADDRESS(1, t2kTI1,4),"1","") &amp; " - """ &amp; INDIRECT(ADDRESS(t2rTLn1-3, t2kTI1)) &amp; """: t2kTI1"</f>
        <v>Kolonnenr i tabell for H - "Terminer igjen": t2kTI1</v>
      </c>
    </row>
    <row r="33" spans="1:47" x14ac:dyDescent="0.6">
      <c r="A33" s="152" t="str">
        <f t="shared" ca="1" si="1"/>
        <v>April 2026</v>
      </c>
      <c r="B33" s="191">
        <v>0</v>
      </c>
      <c r="C33" s="270">
        <f t="shared" ca="1" si="22"/>
        <v>5.4899999999999997E-2</v>
      </c>
      <c r="D33" s="192" t="str">
        <f t="shared" ca="1" si="23"/>
        <v/>
      </c>
      <c r="E33" s="193" t="str">
        <f t="shared" ca="1" si="24"/>
        <v/>
      </c>
      <c r="F33" s="194">
        <f t="shared" ca="1" si="25"/>
        <v>49</v>
      </c>
      <c r="G33" s="14">
        <v>16</v>
      </c>
      <c r="H33" s="157">
        <f t="shared" ca="1" si="26"/>
        <v>297</v>
      </c>
      <c r="I33" s="16">
        <f t="shared" ca="1" si="27"/>
        <v>19352.834093669881</v>
      </c>
      <c r="J33" s="16">
        <f t="shared" ca="1" si="2"/>
        <v>11148.221914182703</v>
      </c>
      <c r="K33" s="158">
        <f t="shared" ca="1" si="3"/>
        <v>8204.6121794871779</v>
      </c>
      <c r="L33" s="158">
        <f t="shared" ca="1" si="4"/>
        <v>2428565.2051282078</v>
      </c>
      <c r="M33" s="15">
        <f t="shared" ca="1" si="5"/>
        <v>0</v>
      </c>
      <c r="N33" s="16">
        <f ca="1">IF(Y33=0, 0, ROUND(SUM(Y$17:Y33)-SUM(J$17:J33),0))</f>
        <v>0</v>
      </c>
      <c r="O33" s="16" t="str">
        <f t="shared" ca="1" si="6"/>
        <v/>
      </c>
      <c r="P33" s="16">
        <f t="shared" ca="1" si="7"/>
        <v>2570000</v>
      </c>
      <c r="Q33" s="160">
        <f t="shared" ca="1" si="8"/>
        <v>5000000</v>
      </c>
      <c r="R33" s="160">
        <f t="shared" ca="1" si="8"/>
        <v>0</v>
      </c>
      <c r="S33" s="160">
        <f t="shared" ca="1" si="8"/>
        <v>358488</v>
      </c>
      <c r="T33" s="160">
        <f t="shared" ca="1" si="8"/>
        <v>628000</v>
      </c>
      <c r="U33" s="161" t="str">
        <f t="shared" ca="1" si="9"/>
        <v/>
      </c>
      <c r="V33" s="162">
        <f t="shared" ca="1" si="0"/>
        <v>4.4399999999999995</v>
      </c>
      <c r="W33" s="195">
        <f t="shared" ca="1" si="28"/>
        <v>297</v>
      </c>
      <c r="X33" s="158">
        <f t="shared" ca="1" si="10"/>
        <v>19352.834093669873</v>
      </c>
      <c r="Y33" s="16">
        <f t="shared" ca="1" si="11"/>
        <v>11148.221914182694</v>
      </c>
      <c r="Z33" s="164">
        <f t="shared" ca="1" si="12"/>
        <v>2428565.2051282055</v>
      </c>
      <c r="AA33" s="272">
        <f t="shared" ca="1" si="29"/>
        <v>0.22</v>
      </c>
      <c r="AB33" s="16">
        <f t="shared" ca="1" si="13"/>
        <v>16938.445272549689</v>
      </c>
      <c r="AC33" s="16">
        <f t="shared" ca="1" si="14"/>
        <v>16938.445272549681</v>
      </c>
      <c r="AD33" s="197"/>
      <c r="AE33" s="274">
        <f t="shared" ca="1" si="15"/>
        <v>1.6821425527395739E-3</v>
      </c>
      <c r="AF33" s="166">
        <f t="shared" ca="1" si="16"/>
        <v>0.97506281526483374</v>
      </c>
      <c r="AG33" s="16">
        <f t="shared" ca="1" si="17"/>
        <v>16516.048133661614</v>
      </c>
      <c r="AH33" s="16">
        <f t="shared" ca="1" si="18"/>
        <v>16516.048133661607</v>
      </c>
      <c r="AI33" s="168">
        <f t="shared" ca="1" si="19"/>
        <v>49</v>
      </c>
      <c r="AJ33" s="158">
        <f t="shared" ca="1" si="20"/>
        <v>49</v>
      </c>
      <c r="AK33" s="16">
        <f t="shared" ca="1" si="21"/>
        <v>-19401.834093669881</v>
      </c>
      <c r="AL33" s="168">
        <f t="shared" ca="1" si="30"/>
        <v>19352.834093669881</v>
      </c>
      <c r="AM33" s="158">
        <f t="shared" ca="1" si="31"/>
        <v>19390.370194391035</v>
      </c>
      <c r="AN33" s="158">
        <f t="shared" ca="1" si="32"/>
        <v>15019.961092490952</v>
      </c>
      <c r="AO33" s="169">
        <f t="shared" ca="1" si="33"/>
        <v>297</v>
      </c>
      <c r="AP33" s="169">
        <f t="shared" ca="1" si="34"/>
        <v>188</v>
      </c>
      <c r="AQ33" s="158">
        <f t="shared" ca="1" si="35"/>
        <v>0</v>
      </c>
      <c r="AR33" s="158">
        <f t="shared" ca="1" si="36"/>
        <v>37.536100721154071</v>
      </c>
      <c r="AS33" s="170"/>
      <c r="AT33" s="159">
        <f ca="1">t2vTNklN-t2vArN*12</f>
        <v>12</v>
      </c>
      <c r="AU33" s="159">
        <f>COLUMN($H$16)</f>
        <v>8</v>
      </c>
    </row>
    <row r="34" spans="1:47" x14ac:dyDescent="0.6">
      <c r="A34" s="171" t="str">
        <f t="shared" ca="1" si="1"/>
        <v>Mai 2026</v>
      </c>
      <c r="B34" s="191">
        <v>0</v>
      </c>
      <c r="C34" s="269">
        <f t="shared" ca="1" si="22"/>
        <v>5.4899999999999997E-2</v>
      </c>
      <c r="D34" s="173" t="str">
        <f t="shared" ca="1" si="23"/>
        <v/>
      </c>
      <c r="E34" s="174" t="str">
        <f t="shared" ca="1" si="24"/>
        <v/>
      </c>
      <c r="F34" s="175">
        <f t="shared" ca="1" si="25"/>
        <v>49</v>
      </c>
      <c r="G34" s="10">
        <v>17</v>
      </c>
      <c r="H34" s="176">
        <f t="shared" ca="1" si="26"/>
        <v>296</v>
      </c>
      <c r="I34" s="12">
        <f t="shared" ca="1" si="27"/>
        <v>19315.297992948726</v>
      </c>
      <c r="J34" s="12">
        <f t="shared" ca="1" si="2"/>
        <v>11110.685813461549</v>
      </c>
      <c r="K34" s="177">
        <f t="shared" ca="1" si="3"/>
        <v>8204.6121794871779</v>
      </c>
      <c r="L34" s="177">
        <f t="shared" ca="1" si="4"/>
        <v>2420360.5929487208</v>
      </c>
      <c r="M34" s="11">
        <f t="shared" ca="1" si="5"/>
        <v>0</v>
      </c>
      <c r="N34" s="12">
        <f ca="1">IF(Y34=0, 0, ROUND(SUM(Y$17:Y34)-SUM(J$17:J34),0))</f>
        <v>0</v>
      </c>
      <c r="O34" s="12" t="str">
        <f t="shared" ca="1" si="6"/>
        <v/>
      </c>
      <c r="P34" s="12" t="str">
        <f t="shared" ca="1" si="7"/>
        <v/>
      </c>
      <c r="Q34" s="178">
        <f t="shared" ca="1" si="8"/>
        <v>5000000</v>
      </c>
      <c r="R34" s="178">
        <f t="shared" ca="1" si="8"/>
        <v>0</v>
      </c>
      <c r="S34" s="178">
        <f t="shared" ca="1" si="8"/>
        <v>358488</v>
      </c>
      <c r="T34" s="178">
        <f t="shared" ca="1" si="8"/>
        <v>628000</v>
      </c>
      <c r="U34" s="179" t="str">
        <f t="shared" ca="1" si="9"/>
        <v/>
      </c>
      <c r="V34" s="180">
        <f t="shared" ca="1" si="0"/>
        <v>4.43</v>
      </c>
      <c r="W34" s="181">
        <f t="shared" ca="1" si="28"/>
        <v>296</v>
      </c>
      <c r="X34" s="177">
        <f t="shared" ca="1" si="10"/>
        <v>19315.297992948719</v>
      </c>
      <c r="Y34" s="12">
        <f t="shared" ca="1" si="11"/>
        <v>11110.68581346154</v>
      </c>
      <c r="Z34" s="182">
        <f t="shared" ca="1" si="12"/>
        <v>2420360.592948718</v>
      </c>
      <c r="AA34" s="271">
        <f t="shared" ca="1" si="29"/>
        <v>0.22</v>
      </c>
      <c r="AB34" s="12">
        <f t="shared" ca="1" si="13"/>
        <v>16909.167113987187</v>
      </c>
      <c r="AC34" s="12">
        <f t="shared" ca="1" si="14"/>
        <v>16909.167113987183</v>
      </c>
      <c r="AD34" s="199"/>
      <c r="AE34" s="273">
        <f t="shared" ca="1" si="15"/>
        <v>1.6821425527395739E-3</v>
      </c>
      <c r="AF34" s="184">
        <f t="shared" ca="1" si="16"/>
        <v>0.97342262061168272</v>
      </c>
      <c r="AG34" s="12">
        <f t="shared" ca="1" si="17"/>
        <v>16459.765764458291</v>
      </c>
      <c r="AH34" s="12">
        <f t="shared" ca="1" si="18"/>
        <v>16459.765764458287</v>
      </c>
      <c r="AI34" s="185">
        <f t="shared" ca="1" si="19"/>
        <v>49</v>
      </c>
      <c r="AJ34" s="177">
        <f t="shared" ca="1" si="20"/>
        <v>49</v>
      </c>
      <c r="AK34" s="12">
        <f t="shared" ca="1" si="21"/>
        <v>-19364.297992948726</v>
      </c>
      <c r="AL34" s="185">
        <f t="shared" ca="1" si="30"/>
        <v>19315.297992948726</v>
      </c>
      <c r="AM34" s="177">
        <f t="shared" ca="1" si="31"/>
        <v>19352.834093669881</v>
      </c>
      <c r="AN34" s="177">
        <f t="shared" ca="1" si="32"/>
        <v>14993.211273219262</v>
      </c>
      <c r="AO34" s="196">
        <f t="shared" ca="1" si="33"/>
        <v>296</v>
      </c>
      <c r="AP34" s="196">
        <f t="shared" ca="1" si="34"/>
        <v>188</v>
      </c>
      <c r="AQ34" s="177">
        <f t="shared" ca="1" si="35"/>
        <v>0</v>
      </c>
      <c r="AR34" s="177">
        <f t="shared" ca="1" si="36"/>
        <v>37.536100721154071</v>
      </c>
      <c r="AS34" s="189"/>
      <c r="AT34" s="190" t="str">
        <f ca="1">"Første linjenr i tabellen for valgt årstall " &amp; TEXT($P$6,0) &amp; ": t2vArTLn1"</f>
        <v>Første linjenr i tabellen for valgt årstall 2025: t2vArTLn1</v>
      </c>
      <c r="AU34" s="190" t="str">
        <f ca="1">"Kolonnenr i tabell for " &amp; SUBSTITUTE(ADDRESS(1, t2kTB1,4),"1","") &amp; " - """ &amp; INDIRECT(ADDRESS(t2rTLn1-3, t2kTB1)) &amp; """: t2kTB1"</f>
        <v>Kolonnenr i tabell for I - "Termin-beløp uten gebyr": t2kTB1</v>
      </c>
    </row>
    <row r="35" spans="1:47" x14ac:dyDescent="0.6">
      <c r="A35" s="152" t="str">
        <f t="shared" ca="1" si="1"/>
        <v>Juni 2026</v>
      </c>
      <c r="B35" s="191">
        <v>0</v>
      </c>
      <c r="C35" s="270">
        <f t="shared" ca="1" si="22"/>
        <v>5.4899999999999997E-2</v>
      </c>
      <c r="D35" s="192" t="str">
        <f t="shared" ca="1" si="23"/>
        <v/>
      </c>
      <c r="E35" s="193" t="str">
        <f t="shared" ca="1" si="24"/>
        <v/>
      </c>
      <c r="F35" s="194">
        <f t="shared" ca="1" si="25"/>
        <v>49</v>
      </c>
      <c r="G35" s="14">
        <v>18</v>
      </c>
      <c r="H35" s="157">
        <f t="shared" ca="1" si="26"/>
        <v>295</v>
      </c>
      <c r="I35" s="16">
        <f t="shared" ca="1" si="27"/>
        <v>19277.761892227576</v>
      </c>
      <c r="J35" s="16">
        <f t="shared" ca="1" si="2"/>
        <v>11073.149712740398</v>
      </c>
      <c r="K35" s="158">
        <f t="shared" ca="1" si="3"/>
        <v>8204.6121794871779</v>
      </c>
      <c r="L35" s="158">
        <f t="shared" ca="1" si="4"/>
        <v>2412155.9807692338</v>
      </c>
      <c r="M35" s="15">
        <f t="shared" ca="1" si="5"/>
        <v>0</v>
      </c>
      <c r="N35" s="16">
        <f ca="1">IF(Y35=0, 0, ROUND(SUM(Y$17:Y35)-SUM(J$17:J35),0))</f>
        <v>0</v>
      </c>
      <c r="O35" s="16" t="str">
        <f t="shared" ca="1" si="6"/>
        <v/>
      </c>
      <c r="P35" s="16">
        <f t="shared" ca="1" si="7"/>
        <v>2580000</v>
      </c>
      <c r="Q35" s="160">
        <f t="shared" ca="1" si="8"/>
        <v>5000000</v>
      </c>
      <c r="R35" s="160">
        <f t="shared" ca="1" si="8"/>
        <v>0</v>
      </c>
      <c r="S35" s="160">
        <f t="shared" ca="1" si="8"/>
        <v>358488</v>
      </c>
      <c r="T35" s="160">
        <f t="shared" ca="1" si="8"/>
        <v>628000</v>
      </c>
      <c r="U35" s="161" t="str">
        <f t="shared" ca="1" si="9"/>
        <v/>
      </c>
      <c r="V35" s="162">
        <f t="shared" ca="1" si="0"/>
        <v>4.42</v>
      </c>
      <c r="W35" s="195">
        <f t="shared" ca="1" si="28"/>
        <v>295</v>
      </c>
      <c r="X35" s="158">
        <f t="shared" ca="1" si="10"/>
        <v>19277.761892227565</v>
      </c>
      <c r="Y35" s="16">
        <f t="shared" ca="1" si="11"/>
        <v>11073.149712740385</v>
      </c>
      <c r="Z35" s="164">
        <f t="shared" ca="1" si="12"/>
        <v>2412155.980769231</v>
      </c>
      <c r="AA35" s="272">
        <f t="shared" ca="1" si="29"/>
        <v>0.22</v>
      </c>
      <c r="AB35" s="16">
        <f t="shared" ca="1" si="13"/>
        <v>16879.888955424689</v>
      </c>
      <c r="AC35" s="16">
        <f t="shared" ca="1" si="14"/>
        <v>16879.888955424678</v>
      </c>
      <c r="AD35" s="197"/>
      <c r="AE35" s="274">
        <f t="shared" ca="1" si="15"/>
        <v>1.6821425527395739E-3</v>
      </c>
      <c r="AF35" s="166">
        <f t="shared" ca="1" si="16"/>
        <v>0.97178518499975253</v>
      </c>
      <c r="AG35" s="16">
        <f t="shared" ca="1" si="17"/>
        <v>16403.62601132266</v>
      </c>
      <c r="AH35" s="16">
        <f t="shared" ca="1" si="18"/>
        <v>16403.626011322649</v>
      </c>
      <c r="AI35" s="168">
        <f t="shared" ca="1" si="19"/>
        <v>49</v>
      </c>
      <c r="AJ35" s="158">
        <f t="shared" ca="1" si="20"/>
        <v>49</v>
      </c>
      <c r="AK35" s="16">
        <f t="shared" ca="1" si="21"/>
        <v>-19326.761892227576</v>
      </c>
      <c r="AL35" s="168">
        <f t="shared" ca="1" si="30"/>
        <v>19277.761892227576</v>
      </c>
      <c r="AM35" s="158">
        <f t="shared" ca="1" si="31"/>
        <v>19315.297992948726</v>
      </c>
      <c r="AN35" s="158">
        <f t="shared" ca="1" si="32"/>
        <v>14966.485318572306</v>
      </c>
      <c r="AO35" s="169">
        <f t="shared" ca="1" si="33"/>
        <v>295</v>
      </c>
      <c r="AP35" s="169">
        <f t="shared" ca="1" si="34"/>
        <v>187</v>
      </c>
      <c r="AQ35" s="158">
        <f t="shared" ca="1" si="35"/>
        <v>0</v>
      </c>
      <c r="AR35" s="158">
        <f t="shared" ca="1" si="36"/>
        <v>37.536100721150433</v>
      </c>
      <c r="AS35" s="170"/>
      <c r="AT35" s="159">
        <f ca="1">IF($P$6=YEAR($E$5), t2rTLn1, IF($P$6=t2vArN, t2rTLnN+1-t2vAntTArN, IF(AND($P$6&gt;YEAR($E$5),$P$6&lt;t2vArN), ($P$6-YEAR($E$5)-1)*12+t2vAntTAr1+t2rTLn1, -1)))</f>
        <v>18</v>
      </c>
      <c r="AU35" s="159">
        <f>COLUMN($I$16)</f>
        <v>9</v>
      </c>
    </row>
    <row r="36" spans="1:47" x14ac:dyDescent="0.6">
      <c r="A36" s="171" t="str">
        <f t="shared" ca="1" si="1"/>
        <v>Juli 2026</v>
      </c>
      <c r="B36" s="191">
        <v>0</v>
      </c>
      <c r="C36" s="269">
        <f t="shared" ca="1" si="22"/>
        <v>5.4899999999999997E-2</v>
      </c>
      <c r="D36" s="173" t="str">
        <f t="shared" ca="1" si="23"/>
        <v/>
      </c>
      <c r="E36" s="174" t="str">
        <f t="shared" ca="1" si="24"/>
        <v/>
      </c>
      <c r="F36" s="175">
        <f t="shared" ca="1" si="25"/>
        <v>49</v>
      </c>
      <c r="G36" s="10">
        <v>19</v>
      </c>
      <c r="H36" s="176">
        <f t="shared" ca="1" si="26"/>
        <v>294</v>
      </c>
      <c r="I36" s="12">
        <f t="shared" ca="1" si="27"/>
        <v>19240.225791506422</v>
      </c>
      <c r="J36" s="12">
        <f t="shared" ca="1" si="2"/>
        <v>11035.613612019244</v>
      </c>
      <c r="K36" s="177">
        <f t="shared" ca="1" si="3"/>
        <v>8204.6121794871779</v>
      </c>
      <c r="L36" s="177">
        <f t="shared" ca="1" si="4"/>
        <v>2403951.3685897468</v>
      </c>
      <c r="M36" s="11">
        <f t="shared" ca="1" si="5"/>
        <v>0</v>
      </c>
      <c r="N36" s="12">
        <f ca="1">IF(Y36=0, 0, ROUND(SUM(Y$17:Y36)-SUM(J$17:J36),0))</f>
        <v>0</v>
      </c>
      <c r="O36" s="12" t="str">
        <f t="shared" ca="1" si="6"/>
        <v/>
      </c>
      <c r="P36" s="12">
        <f t="shared" ca="1" si="7"/>
        <v>2590000</v>
      </c>
      <c r="Q36" s="178">
        <f t="shared" ca="1" si="8"/>
        <v>5000000</v>
      </c>
      <c r="R36" s="178">
        <f t="shared" ca="1" si="8"/>
        <v>0</v>
      </c>
      <c r="S36" s="178">
        <f t="shared" ca="1" si="8"/>
        <v>358488</v>
      </c>
      <c r="T36" s="178">
        <f t="shared" ca="1" si="8"/>
        <v>628000</v>
      </c>
      <c r="U36" s="179" t="str">
        <f t="shared" ca="1" si="9"/>
        <v/>
      </c>
      <c r="V36" s="180">
        <f t="shared" ca="1" si="0"/>
        <v>4.3999999999999995</v>
      </c>
      <c r="W36" s="181">
        <f t="shared" ca="1" si="28"/>
        <v>294</v>
      </c>
      <c r="X36" s="177">
        <f t="shared" ca="1" si="10"/>
        <v>19240.225791506411</v>
      </c>
      <c r="Y36" s="12">
        <f t="shared" ca="1" si="11"/>
        <v>11035.613612019231</v>
      </c>
      <c r="Z36" s="182">
        <f t="shared" ca="1" si="12"/>
        <v>2403951.368589744</v>
      </c>
      <c r="AA36" s="271">
        <f t="shared" ca="1" si="29"/>
        <v>0.22</v>
      </c>
      <c r="AB36" s="12">
        <f t="shared" ca="1" si="13"/>
        <v>16850.610796862187</v>
      </c>
      <c r="AC36" s="12">
        <f t="shared" ca="1" si="14"/>
        <v>16850.61079686218</v>
      </c>
      <c r="AD36" s="199"/>
      <c r="AE36" s="273">
        <f t="shared" ca="1" si="15"/>
        <v>1.6821425527395739E-3</v>
      </c>
      <c r="AF36" s="184">
        <f t="shared" ca="1" si="16"/>
        <v>0.97015050378794254</v>
      </c>
      <c r="AG36" s="12">
        <f t="shared" ca="1" si="17"/>
        <v>16347.628553710394</v>
      </c>
      <c r="AH36" s="12">
        <f t="shared" ca="1" si="18"/>
        <v>16347.628553710389</v>
      </c>
      <c r="AI36" s="185">
        <f t="shared" ca="1" si="19"/>
        <v>49</v>
      </c>
      <c r="AJ36" s="177">
        <f t="shared" ca="1" si="20"/>
        <v>49</v>
      </c>
      <c r="AK36" s="12">
        <f t="shared" ca="1" si="21"/>
        <v>-19289.225791506422</v>
      </c>
      <c r="AL36" s="185">
        <f t="shared" ca="1" si="30"/>
        <v>19240.225791506422</v>
      </c>
      <c r="AM36" s="177">
        <f t="shared" ca="1" si="31"/>
        <v>19277.761892227576</v>
      </c>
      <c r="AN36" s="177">
        <f t="shared" ca="1" si="32"/>
        <v>14939.783256978944</v>
      </c>
      <c r="AO36" s="196">
        <f t="shared" ca="1" si="33"/>
        <v>294</v>
      </c>
      <c r="AP36" s="196">
        <f t="shared" ca="1" si="34"/>
        <v>187</v>
      </c>
      <c r="AQ36" s="177">
        <f t="shared" ca="1" si="35"/>
        <v>0</v>
      </c>
      <c r="AR36" s="177">
        <f t="shared" ca="1" si="36"/>
        <v>37.536100721154071</v>
      </c>
      <c r="AS36" s="189"/>
      <c r="AT36" s="190" t="str">
        <f ca="1">"Siste linjenr i tabellen for valgt årstall " &amp; TEXT($P$6,0) &amp; ": t2vArTLnN"</f>
        <v>Siste linjenr i tabellen for valgt årstall 2025: t2vArTLnN</v>
      </c>
      <c r="AU36" s="190" t="str">
        <f ca="1">"Kolonnenr i tabell for " &amp; SUBSTITUTE(ADDRESS(1, t2kR1,4),"1","") &amp; " - """ &amp; INDIRECT(ADDRESS(t2rTLn1-2, t2kR1)) &amp; """: t2kR1"</f>
        <v>Kolonnenr i tabell for J - "Renter": t2kR1</v>
      </c>
    </row>
    <row r="37" spans="1:47" x14ac:dyDescent="0.6">
      <c r="A37" s="152" t="str">
        <f t="shared" ca="1" si="1"/>
        <v>August 2026</v>
      </c>
      <c r="B37" s="191">
        <v>0</v>
      </c>
      <c r="C37" s="270">
        <f t="shared" ca="1" si="22"/>
        <v>5.4899999999999997E-2</v>
      </c>
      <c r="D37" s="192" t="str">
        <f t="shared" ca="1" si="23"/>
        <v/>
      </c>
      <c r="E37" s="193" t="str">
        <f t="shared" ca="1" si="24"/>
        <v/>
      </c>
      <c r="F37" s="194">
        <f t="shared" ca="1" si="25"/>
        <v>49</v>
      </c>
      <c r="G37" s="14">
        <v>20</v>
      </c>
      <c r="H37" s="157">
        <f t="shared" ca="1" si="26"/>
        <v>293</v>
      </c>
      <c r="I37" s="16">
        <f t="shared" ca="1" si="27"/>
        <v>19202.689690785272</v>
      </c>
      <c r="J37" s="16">
        <f t="shared" ca="1" si="2"/>
        <v>10998.077511298092</v>
      </c>
      <c r="K37" s="158">
        <f t="shared" ca="1" si="3"/>
        <v>8204.6121794871797</v>
      </c>
      <c r="L37" s="158">
        <f t="shared" ca="1" si="4"/>
        <v>2395746.7564102598</v>
      </c>
      <c r="M37" s="15">
        <f t="shared" ca="1" si="5"/>
        <v>-1.4551915228366852E-11</v>
      </c>
      <c r="N37" s="16">
        <f ca="1">IF(Y37=0, 0, ROUND(SUM(Y$17:Y37)-SUM(J$17:J37),0))</f>
        <v>0</v>
      </c>
      <c r="O37" s="16" t="str">
        <f t="shared" ca="1" si="6"/>
        <v/>
      </c>
      <c r="P37" s="16">
        <f t="shared" ca="1" si="7"/>
        <v>2600000</v>
      </c>
      <c r="Q37" s="160">
        <f t="shared" ca="1" si="8"/>
        <v>5000000</v>
      </c>
      <c r="R37" s="160">
        <f t="shared" ca="1" si="8"/>
        <v>0</v>
      </c>
      <c r="S37" s="160">
        <f t="shared" ca="1" si="8"/>
        <v>358488</v>
      </c>
      <c r="T37" s="160">
        <f t="shared" ca="1" si="8"/>
        <v>628000</v>
      </c>
      <c r="U37" s="161" t="str">
        <f t="shared" ca="1" si="9"/>
        <v/>
      </c>
      <c r="V37" s="162">
        <f t="shared" ca="1" si="0"/>
        <v>4.3899999999999997</v>
      </c>
      <c r="W37" s="195">
        <f t="shared" ca="1" si="28"/>
        <v>293</v>
      </c>
      <c r="X37" s="158">
        <f t="shared" ca="1" si="10"/>
        <v>19202.689690785257</v>
      </c>
      <c r="Y37" s="16">
        <f t="shared" ca="1" si="11"/>
        <v>10998.077511298077</v>
      </c>
      <c r="Z37" s="164">
        <f t="shared" ca="1" si="12"/>
        <v>2395746.7564102565</v>
      </c>
      <c r="AA37" s="272">
        <f t="shared" ca="1" si="29"/>
        <v>0.22</v>
      </c>
      <c r="AB37" s="16">
        <f t="shared" ca="1" si="13"/>
        <v>16821.332638299689</v>
      </c>
      <c r="AC37" s="16">
        <f t="shared" ca="1" si="14"/>
        <v>16821.332638299682</v>
      </c>
      <c r="AD37" s="197"/>
      <c r="AE37" s="274">
        <f t="shared" ca="1" si="15"/>
        <v>1.6821425527395739E-3</v>
      </c>
      <c r="AF37" s="166">
        <f t="shared" ca="1" si="16"/>
        <v>0.96851857234295913</v>
      </c>
      <c r="AG37" s="16">
        <f t="shared" ca="1" si="17"/>
        <v>16291.773071752037</v>
      </c>
      <c r="AH37" s="16">
        <f t="shared" ca="1" si="18"/>
        <v>16291.77307175203</v>
      </c>
      <c r="AI37" s="168">
        <f t="shared" ca="1" si="19"/>
        <v>49</v>
      </c>
      <c r="AJ37" s="158">
        <f t="shared" ca="1" si="20"/>
        <v>49</v>
      </c>
      <c r="AK37" s="16">
        <f t="shared" ca="1" si="21"/>
        <v>-19251.689690785272</v>
      </c>
      <c r="AL37" s="168">
        <f t="shared" ca="1" si="30"/>
        <v>19202.689690785272</v>
      </c>
      <c r="AM37" s="158">
        <f t="shared" ca="1" si="31"/>
        <v>19240.225791506422</v>
      </c>
      <c r="AN37" s="158">
        <f t="shared" ca="1" si="32"/>
        <v>14913.105116811808</v>
      </c>
      <c r="AO37" s="169">
        <f t="shared" ca="1" si="33"/>
        <v>293</v>
      </c>
      <c r="AP37" s="169">
        <f t="shared" ca="1" si="34"/>
        <v>186</v>
      </c>
      <c r="AQ37" s="158">
        <f t="shared" ca="1" si="35"/>
        <v>0</v>
      </c>
      <c r="AR37" s="158">
        <f t="shared" ca="1" si="36"/>
        <v>37.536100721150433</v>
      </c>
      <c r="AS37" s="170"/>
      <c r="AT37" s="159">
        <f ca="1">IF($P$6=YEAR($E$5), t2rTLn1-1+t2vAntTAr1, IF($P$6=t2vArN, t2rTLnN, IF(AND($P$6&gt;YEAR($E$5),$P$6&lt;t2vArN), ($P$6-YEAR($E$5)-1)*12+t2vAntTAr1+t2rTLn1+11, -1)))</f>
        <v>29</v>
      </c>
      <c r="AU37" s="159">
        <f>COLUMN($J$16)</f>
        <v>10</v>
      </c>
    </row>
    <row r="38" spans="1:47" x14ac:dyDescent="0.6">
      <c r="A38" s="171" t="str">
        <f t="shared" ca="1" si="1"/>
        <v>September 2026</v>
      </c>
      <c r="B38" s="191">
        <v>0</v>
      </c>
      <c r="C38" s="269">
        <f t="shared" ca="1" si="22"/>
        <v>5.4899999999999997E-2</v>
      </c>
      <c r="D38" s="173" t="str">
        <f t="shared" ca="1" si="23"/>
        <v/>
      </c>
      <c r="E38" s="174" t="str">
        <f t="shared" ca="1" si="24"/>
        <v/>
      </c>
      <c r="F38" s="175">
        <f t="shared" ca="1" si="25"/>
        <v>49</v>
      </c>
      <c r="G38" s="10">
        <v>21</v>
      </c>
      <c r="H38" s="176">
        <f t="shared" ca="1" si="26"/>
        <v>292</v>
      </c>
      <c r="I38" s="12">
        <f t="shared" ca="1" si="27"/>
        <v>19165.153590064117</v>
      </c>
      <c r="J38" s="12">
        <f t="shared" ca="1" si="2"/>
        <v>10960.541410576938</v>
      </c>
      <c r="K38" s="177">
        <f t="shared" ca="1" si="3"/>
        <v>8204.6121794871797</v>
      </c>
      <c r="L38" s="177">
        <f t="shared" ca="1" si="4"/>
        <v>2387542.1442307727</v>
      </c>
      <c r="M38" s="11">
        <f t="shared" ca="1" si="5"/>
        <v>-1.4551915228366852E-11</v>
      </c>
      <c r="N38" s="12">
        <f ca="1">IF(Y38=0, 0, ROUND(SUM(Y$17:Y38)-SUM(J$17:J38),0))</f>
        <v>0</v>
      </c>
      <c r="O38" s="12" t="str">
        <f t="shared" ca="1" si="6"/>
        <v/>
      </c>
      <c r="P38" s="12">
        <f t="shared" ca="1" si="7"/>
        <v>2610000</v>
      </c>
      <c r="Q38" s="178">
        <f t="shared" ref="Q38:T57" ca="1" si="37">OFFSET(Q38,-1,0,1,1)</f>
        <v>5000000</v>
      </c>
      <c r="R38" s="178">
        <f t="shared" ca="1" si="37"/>
        <v>0</v>
      </c>
      <c r="S38" s="178">
        <f t="shared" ca="1" si="37"/>
        <v>358488</v>
      </c>
      <c r="T38" s="178">
        <f t="shared" ca="1" si="37"/>
        <v>628000</v>
      </c>
      <c r="U38" s="179" t="str">
        <f t="shared" ca="1" si="9"/>
        <v/>
      </c>
      <c r="V38" s="180">
        <f t="shared" ca="1" si="0"/>
        <v>4.38</v>
      </c>
      <c r="W38" s="181">
        <f t="shared" ca="1" si="28"/>
        <v>292</v>
      </c>
      <c r="X38" s="177">
        <f t="shared" ca="1" si="10"/>
        <v>19165.153590064103</v>
      </c>
      <c r="Y38" s="12">
        <f t="shared" ca="1" si="11"/>
        <v>10960.541410576923</v>
      </c>
      <c r="Z38" s="182">
        <f t="shared" ca="1" si="12"/>
        <v>2387542.1442307695</v>
      </c>
      <c r="AA38" s="271">
        <f t="shared" ca="1" si="29"/>
        <v>0.22</v>
      </c>
      <c r="AB38" s="12">
        <f t="shared" ca="1" si="13"/>
        <v>16792.054479737191</v>
      </c>
      <c r="AC38" s="12">
        <f t="shared" ca="1" si="14"/>
        <v>16792.05447973718</v>
      </c>
      <c r="AD38" s="199"/>
      <c r="AE38" s="273">
        <f t="shared" ca="1" si="15"/>
        <v>1.6821425527395739E-3</v>
      </c>
      <c r="AF38" s="184">
        <f t="shared" ca="1" si="16"/>
        <v>0.96688938603930241</v>
      </c>
      <c r="AG38" s="12">
        <f t="shared" ca="1" si="17"/>
        <v>16236.059246251611</v>
      </c>
      <c r="AH38" s="12">
        <f t="shared" ca="1" si="18"/>
        <v>16236.0592462516</v>
      </c>
      <c r="AI38" s="185">
        <f t="shared" ca="1" si="19"/>
        <v>49</v>
      </c>
      <c r="AJ38" s="177">
        <f t="shared" ca="1" si="20"/>
        <v>49</v>
      </c>
      <c r="AK38" s="12">
        <f t="shared" ca="1" si="21"/>
        <v>-19214.153590064117</v>
      </c>
      <c r="AL38" s="185">
        <f t="shared" ca="1" si="30"/>
        <v>19165.153590064117</v>
      </c>
      <c r="AM38" s="177">
        <f t="shared" ca="1" si="31"/>
        <v>19202.689690785272</v>
      </c>
      <c r="AN38" s="177">
        <f t="shared" ca="1" si="32"/>
        <v>14886.450926386973</v>
      </c>
      <c r="AO38" s="196">
        <f t="shared" ca="1" si="33"/>
        <v>292</v>
      </c>
      <c r="AP38" s="196">
        <f t="shared" ca="1" si="34"/>
        <v>186</v>
      </c>
      <c r="AQ38" s="177">
        <f t="shared" ca="1" si="35"/>
        <v>0</v>
      </c>
      <c r="AR38" s="177">
        <f t="shared" ca="1" si="36"/>
        <v>37.536100721154071</v>
      </c>
      <c r="AS38" s="189"/>
      <c r="AT38" s="190" t="str">
        <f ca="1">"Første linjenr i tabellen for valgt årstall " &amp; TEXT($P$6-1,0) &amp; ": t2vArYTLn1"</f>
        <v>Første linjenr i tabellen for valgt årstall 2024: t2vArYTLn1</v>
      </c>
      <c r="AU38" s="190" t="str">
        <f ca="1">"Kolonnenr i tabell for " &amp; SUBSTITUTE(ADDRESS(1, t2kAvd1,4),"1","") &amp; " - """ &amp; INDIRECT(ADDRESS(t2rTLn1-2, t2kAvd1)) &amp; """: t2kAvd1"</f>
        <v>Kolonnenr i tabell for K - "Avdrag": t2kAvd1</v>
      </c>
    </row>
    <row r="39" spans="1:47" x14ac:dyDescent="0.6">
      <c r="A39" s="152" t="str">
        <f t="shared" ca="1" si="1"/>
        <v>Oktober 2026</v>
      </c>
      <c r="B39" s="191">
        <v>0</v>
      </c>
      <c r="C39" s="270">
        <f t="shared" ca="1" si="22"/>
        <v>5.4899999999999997E-2</v>
      </c>
      <c r="D39" s="192" t="str">
        <f t="shared" ca="1" si="23"/>
        <v/>
      </c>
      <c r="E39" s="193" t="str">
        <f t="shared" ca="1" si="24"/>
        <v/>
      </c>
      <c r="F39" s="194">
        <f t="shared" ca="1" si="25"/>
        <v>49</v>
      </c>
      <c r="G39" s="14">
        <v>22</v>
      </c>
      <c r="H39" s="157">
        <f t="shared" ca="1" si="26"/>
        <v>291</v>
      </c>
      <c r="I39" s="16">
        <f t="shared" ca="1" si="27"/>
        <v>19127.617489342963</v>
      </c>
      <c r="J39" s="16">
        <f t="shared" ca="1" si="2"/>
        <v>10923.005309855784</v>
      </c>
      <c r="K39" s="158">
        <f t="shared" ca="1" si="3"/>
        <v>8204.6121794871797</v>
      </c>
      <c r="L39" s="158">
        <f t="shared" ca="1" si="4"/>
        <v>2379337.5320512857</v>
      </c>
      <c r="M39" s="15">
        <f t="shared" ca="1" si="5"/>
        <v>-1.4551915228366852E-11</v>
      </c>
      <c r="N39" s="16">
        <f ca="1">IF(Y39=0, 0, ROUND(SUM(Y$17:Y39)-SUM(J$17:J39),0))</f>
        <v>0</v>
      </c>
      <c r="O39" s="16" t="str">
        <f t="shared" ca="1" si="6"/>
        <v/>
      </c>
      <c r="P39" s="16">
        <f t="shared" ca="1" si="7"/>
        <v>2620000</v>
      </c>
      <c r="Q39" s="160">
        <f t="shared" ca="1" si="37"/>
        <v>5000000</v>
      </c>
      <c r="R39" s="160">
        <f t="shared" ca="1" si="37"/>
        <v>0</v>
      </c>
      <c r="S39" s="160">
        <f t="shared" ca="1" si="37"/>
        <v>358488</v>
      </c>
      <c r="T39" s="160">
        <f t="shared" ca="1" si="37"/>
        <v>628000</v>
      </c>
      <c r="U39" s="161" t="str">
        <f t="shared" ca="1" si="9"/>
        <v/>
      </c>
      <c r="V39" s="162">
        <f t="shared" ca="1" si="0"/>
        <v>4.3599999999999994</v>
      </c>
      <c r="W39" s="195">
        <f t="shared" ca="1" si="28"/>
        <v>291</v>
      </c>
      <c r="X39" s="158">
        <f t="shared" ca="1" si="10"/>
        <v>19127.617489342949</v>
      </c>
      <c r="Y39" s="16">
        <f t="shared" ca="1" si="11"/>
        <v>10923.005309855769</v>
      </c>
      <c r="Z39" s="164">
        <f t="shared" ca="1" si="12"/>
        <v>2379337.532051282</v>
      </c>
      <c r="AA39" s="272">
        <f t="shared" ca="1" si="29"/>
        <v>0.22</v>
      </c>
      <c r="AB39" s="16">
        <f t="shared" ca="1" si="13"/>
        <v>16762.776321174693</v>
      </c>
      <c r="AC39" s="16">
        <f t="shared" ca="1" si="14"/>
        <v>16762.776321174679</v>
      </c>
      <c r="AD39" s="197"/>
      <c r="AE39" s="274">
        <f t="shared" ca="1" si="15"/>
        <v>1.6821425527395739E-3</v>
      </c>
      <c r="AF39" s="166">
        <f t="shared" ca="1" si="16"/>
        <v>0.96526294025925341</v>
      </c>
      <c r="AG39" s="16">
        <f t="shared" ca="1" si="17"/>
        <v>16180.486758685276</v>
      </c>
      <c r="AH39" s="16">
        <f t="shared" ca="1" si="18"/>
        <v>16180.486758685262</v>
      </c>
      <c r="AI39" s="168">
        <f t="shared" ca="1" si="19"/>
        <v>49</v>
      </c>
      <c r="AJ39" s="158">
        <f t="shared" ca="1" si="20"/>
        <v>49</v>
      </c>
      <c r="AK39" s="16">
        <f t="shared" ca="1" si="21"/>
        <v>-19176.617489342963</v>
      </c>
      <c r="AL39" s="168">
        <f t="shared" ca="1" si="30"/>
        <v>19127.617489342963</v>
      </c>
      <c r="AM39" s="158">
        <f t="shared" ca="1" si="31"/>
        <v>19165.153590064117</v>
      </c>
      <c r="AN39" s="158">
        <f t="shared" ca="1" si="32"/>
        <v>14859.820713963607</v>
      </c>
      <c r="AO39" s="169">
        <f t="shared" ca="1" si="33"/>
        <v>291</v>
      </c>
      <c r="AP39" s="169">
        <f t="shared" ca="1" si="34"/>
        <v>185</v>
      </c>
      <c r="AQ39" s="158">
        <f t="shared" ca="1" si="35"/>
        <v>0</v>
      </c>
      <c r="AR39" s="158">
        <f t="shared" ca="1" si="36"/>
        <v>37.536100721154071</v>
      </c>
      <c r="AS39" s="170"/>
      <c r="AT39" s="159">
        <f ca="1">IF($P$6-1=YEAR($E$5), t2rTLn1, IF($P$6-1=t2vArN, t2rTLnN+1-t2vAntTArN, IF(AND($P$6-1&gt;YEAR($E$5),$P$6-1&lt;t2vArN), ($P$6-1-YEAR($E$5)-1)*12+t2vAntTAr1+t2rTLn1, -1)))</f>
        <v>-1</v>
      </c>
      <c r="AU39" s="159">
        <f>COLUMN($K$16)</f>
        <v>11</v>
      </c>
    </row>
    <row r="40" spans="1:47" x14ac:dyDescent="0.6">
      <c r="A40" s="171" t="str">
        <f t="shared" ca="1" si="1"/>
        <v>November 2026</v>
      </c>
      <c r="B40" s="191">
        <v>0</v>
      </c>
      <c r="C40" s="269">
        <f t="shared" ca="1" si="22"/>
        <v>5.4899999999999997E-2</v>
      </c>
      <c r="D40" s="173" t="str">
        <f t="shared" ca="1" si="23"/>
        <v/>
      </c>
      <c r="E40" s="174" t="str">
        <f t="shared" ca="1" si="24"/>
        <v/>
      </c>
      <c r="F40" s="175">
        <f t="shared" ca="1" si="25"/>
        <v>49</v>
      </c>
      <c r="G40" s="10">
        <v>23</v>
      </c>
      <c r="H40" s="176">
        <f t="shared" ca="1" si="26"/>
        <v>290</v>
      </c>
      <c r="I40" s="12">
        <f t="shared" ca="1" si="27"/>
        <v>19090.081388621809</v>
      </c>
      <c r="J40" s="12">
        <f t="shared" ca="1" si="2"/>
        <v>10885.469209134631</v>
      </c>
      <c r="K40" s="177">
        <f t="shared" ca="1" si="3"/>
        <v>8204.6121794871779</v>
      </c>
      <c r="L40" s="177">
        <f t="shared" ca="1" si="4"/>
        <v>2371132.9198717987</v>
      </c>
      <c r="M40" s="11">
        <f t="shared" ca="1" si="5"/>
        <v>-1.6370904631912708E-11</v>
      </c>
      <c r="N40" s="12">
        <f ca="1">IF(Y40=0, 0, ROUND(SUM(Y$17:Y40)-SUM(J$17:J40),0))</f>
        <v>0</v>
      </c>
      <c r="O40" s="12" t="str">
        <f t="shared" ca="1" si="6"/>
        <v/>
      </c>
      <c r="P40" s="12" t="str">
        <f t="shared" ca="1" si="7"/>
        <v/>
      </c>
      <c r="Q40" s="178">
        <f t="shared" ca="1" si="37"/>
        <v>5000000</v>
      </c>
      <c r="R40" s="178">
        <f t="shared" ca="1" si="37"/>
        <v>0</v>
      </c>
      <c r="S40" s="178">
        <f t="shared" ca="1" si="37"/>
        <v>358488</v>
      </c>
      <c r="T40" s="178">
        <f t="shared" ca="1" si="37"/>
        <v>628000</v>
      </c>
      <c r="U40" s="179" t="str">
        <f t="shared" ca="1" si="9"/>
        <v/>
      </c>
      <c r="V40" s="180">
        <f t="shared" ca="1" si="0"/>
        <v>4.3499999999999996</v>
      </c>
      <c r="W40" s="181">
        <f t="shared" ca="1" si="28"/>
        <v>290</v>
      </c>
      <c r="X40" s="177">
        <f t="shared" ca="1" si="10"/>
        <v>19090.081388621795</v>
      </c>
      <c r="Y40" s="12">
        <f t="shared" ca="1" si="11"/>
        <v>10885.469209134615</v>
      </c>
      <c r="Z40" s="182">
        <f t="shared" ca="1" si="12"/>
        <v>2371132.919871795</v>
      </c>
      <c r="AA40" s="271">
        <f t="shared" ca="1" si="29"/>
        <v>0.22</v>
      </c>
      <c r="AB40" s="12">
        <f t="shared" ca="1" si="13"/>
        <v>16733.498162612188</v>
      </c>
      <c r="AC40" s="12">
        <f t="shared" ca="1" si="14"/>
        <v>16733.498162612181</v>
      </c>
      <c r="AD40" s="199"/>
      <c r="AE40" s="273">
        <f t="shared" ca="1" si="15"/>
        <v>1.6821425527395739E-3</v>
      </c>
      <c r="AF40" s="184">
        <f t="shared" ca="1" si="16"/>
        <v>0.96363923039286081</v>
      </c>
      <c r="AG40" s="12">
        <f t="shared" ca="1" si="17"/>
        <v>16125.055291199958</v>
      </c>
      <c r="AH40" s="12">
        <f t="shared" ca="1" si="18"/>
        <v>16125.055291199953</v>
      </c>
      <c r="AI40" s="185">
        <f t="shared" ca="1" si="19"/>
        <v>49</v>
      </c>
      <c r="AJ40" s="177">
        <f t="shared" ca="1" si="20"/>
        <v>49</v>
      </c>
      <c r="AK40" s="12">
        <f t="shared" ca="1" si="21"/>
        <v>-19139.081388621809</v>
      </c>
      <c r="AL40" s="185">
        <f t="shared" ca="1" si="30"/>
        <v>19090.081388621809</v>
      </c>
      <c r="AM40" s="177">
        <f t="shared" ca="1" si="31"/>
        <v>19127.617489342963</v>
      </c>
      <c r="AN40" s="177">
        <f t="shared" ca="1" si="32"/>
        <v>14833.214507743645</v>
      </c>
      <c r="AO40" s="196">
        <f t="shared" ca="1" si="33"/>
        <v>290</v>
      </c>
      <c r="AP40" s="196">
        <f t="shared" ca="1" si="34"/>
        <v>185</v>
      </c>
      <c r="AQ40" s="177">
        <f t="shared" ca="1" si="35"/>
        <v>0</v>
      </c>
      <c r="AR40" s="177">
        <f t="shared" ca="1" si="36"/>
        <v>37.536100721154071</v>
      </c>
      <c r="AS40" s="189"/>
      <c r="AT40" s="190" t="str">
        <f ca="1">"Siste linjenr i tabellen for valgt årstall " &amp; TEXT($P$6-1,0) &amp; ": t2vArYTLnN"</f>
        <v>Siste linjenr i tabellen for valgt årstall 2024: t2vArYTLnN</v>
      </c>
      <c r="AU40" s="190" t="str">
        <f ca="1">"Kolonnenr i tabell for " &amp; SUBSTITUTE(ADDRESS(1, t2kS1,4),"1","") &amp; " - """ &amp; INDIRECT(ADDRESS(t2rTLn1-2, t2kS1)) &amp; """: t2kS1"</f>
        <v>Kolonnenr i tabell for L - "Saldo": t2kS1</v>
      </c>
    </row>
    <row r="41" spans="1:47" x14ac:dyDescent="0.6">
      <c r="A41" s="152" t="str">
        <f t="shared" ca="1" si="1"/>
        <v>Desember 2026</v>
      </c>
      <c r="B41" s="191">
        <v>0</v>
      </c>
      <c r="C41" s="270">
        <f t="shared" ca="1" si="22"/>
        <v>5.4899999999999997E-2</v>
      </c>
      <c r="D41" s="192" t="str">
        <f t="shared" ca="1" si="23"/>
        <v/>
      </c>
      <c r="E41" s="193" t="str">
        <f t="shared" ca="1" si="24"/>
        <v/>
      </c>
      <c r="F41" s="194">
        <f t="shared" ca="1" si="25"/>
        <v>49</v>
      </c>
      <c r="G41" s="14">
        <v>24</v>
      </c>
      <c r="H41" s="157">
        <f t="shared" ca="1" si="26"/>
        <v>289</v>
      </c>
      <c r="I41" s="16">
        <f t="shared" ca="1" si="27"/>
        <v>19052.545287900655</v>
      </c>
      <c r="J41" s="16">
        <f t="shared" ca="1" si="2"/>
        <v>10847.933108413479</v>
      </c>
      <c r="K41" s="158">
        <f t="shared" ca="1" si="3"/>
        <v>8204.612179487176</v>
      </c>
      <c r="L41" s="158">
        <f t="shared" ca="1" si="4"/>
        <v>2362928.3076923117</v>
      </c>
      <c r="M41" s="15">
        <f t="shared" ca="1" si="5"/>
        <v>-1.8189894035458565E-11</v>
      </c>
      <c r="N41" s="16">
        <f ca="1">IF(Y41=0, 0, ROUND(SUM(Y$17:Y41)-SUM(J$17:J41),0))</f>
        <v>0</v>
      </c>
      <c r="O41" s="16" t="str">
        <f t="shared" ca="1" si="6"/>
        <v/>
      </c>
      <c r="P41" s="16">
        <f t="shared" ca="1" si="7"/>
        <v>2630000</v>
      </c>
      <c r="Q41" s="160">
        <f t="shared" ca="1" si="37"/>
        <v>5000000</v>
      </c>
      <c r="R41" s="160">
        <f t="shared" ca="1" si="37"/>
        <v>0</v>
      </c>
      <c r="S41" s="160">
        <f t="shared" ca="1" si="37"/>
        <v>358488</v>
      </c>
      <c r="T41" s="160">
        <f t="shared" ca="1" si="37"/>
        <v>628000</v>
      </c>
      <c r="U41" s="161" t="str">
        <f t="shared" ca="1" si="9"/>
        <v/>
      </c>
      <c r="V41" s="162">
        <f t="shared" ca="1" si="0"/>
        <v>4.34</v>
      </c>
      <c r="W41" s="195">
        <f t="shared" ca="1" si="28"/>
        <v>289</v>
      </c>
      <c r="X41" s="158">
        <f t="shared" ca="1" si="10"/>
        <v>19052.545287900641</v>
      </c>
      <c r="Y41" s="16">
        <f t="shared" ca="1" si="11"/>
        <v>10847.933108413461</v>
      </c>
      <c r="Z41" s="164">
        <f t="shared" ca="1" si="12"/>
        <v>2362928.307692308</v>
      </c>
      <c r="AA41" s="272">
        <f t="shared" ca="1" si="29"/>
        <v>0.22</v>
      </c>
      <c r="AB41" s="16">
        <f t="shared" ca="1" si="13"/>
        <v>16704.22000404969</v>
      </c>
      <c r="AC41" s="16">
        <f t="shared" ca="1" si="14"/>
        <v>16704.220004049679</v>
      </c>
      <c r="AD41" s="197"/>
      <c r="AE41" s="274">
        <f t="shared" ca="1" si="15"/>
        <v>1.6821425527395739E-3</v>
      </c>
      <c r="AF41" s="166">
        <f t="shared" ca="1" si="16"/>
        <v>0.96201825183792777</v>
      </c>
      <c r="AG41" s="16">
        <f t="shared" ca="1" si="17"/>
        <v>16069.764526612025</v>
      </c>
      <c r="AH41" s="16">
        <f t="shared" ca="1" si="18"/>
        <v>16069.764526612014</v>
      </c>
      <c r="AI41" s="168">
        <f t="shared" ca="1" si="19"/>
        <v>49</v>
      </c>
      <c r="AJ41" s="158">
        <f t="shared" ca="1" si="20"/>
        <v>49</v>
      </c>
      <c r="AK41" s="16">
        <f t="shared" ca="1" si="21"/>
        <v>-19101.545287900655</v>
      </c>
      <c r="AL41" s="168">
        <f t="shared" ca="1" si="30"/>
        <v>19052.545287900655</v>
      </c>
      <c r="AM41" s="158">
        <f t="shared" ca="1" si="31"/>
        <v>19090.081388621809</v>
      </c>
      <c r="AN41" s="158">
        <f t="shared" ca="1" si="32"/>
        <v>14806.632335871427</v>
      </c>
      <c r="AO41" s="169">
        <f t="shared" ca="1" si="33"/>
        <v>289</v>
      </c>
      <c r="AP41" s="169">
        <f t="shared" ca="1" si="34"/>
        <v>185</v>
      </c>
      <c r="AQ41" s="158">
        <f t="shared" ca="1" si="35"/>
        <v>0</v>
      </c>
      <c r="AR41" s="158">
        <f t="shared" ca="1" si="36"/>
        <v>37.536100721154071</v>
      </c>
      <c r="AS41" s="170"/>
      <c r="AT41" s="159">
        <f ca="1">IF($P$6-1=YEAR($E$5), t2rTLn1-1+t2vAntTAr1, IF($P$6-1=t2vArN, t2rTLnN, IF(AND($P$6-1&gt;YEAR($E$5),$P$6-1&lt;t2vArN), ($P$6-1-YEAR($E$5)-1)*12+t2vAntTAr1+t2rTLn1+11, -1)))</f>
        <v>-1</v>
      </c>
      <c r="AU41" s="159">
        <f>COLUMN($L$16)</f>
        <v>12</v>
      </c>
    </row>
    <row r="42" spans="1:47" x14ac:dyDescent="0.6">
      <c r="A42" s="171" t="str">
        <f t="shared" ca="1" si="1"/>
        <v>Januar 2027</v>
      </c>
      <c r="B42" s="191">
        <v>0</v>
      </c>
      <c r="C42" s="269">
        <f t="shared" ca="1" si="22"/>
        <v>5.4899999999999997E-2</v>
      </c>
      <c r="D42" s="173" t="str">
        <f t="shared" ca="1" si="23"/>
        <v/>
      </c>
      <c r="E42" s="174" t="str">
        <f t="shared" ca="1" si="24"/>
        <v/>
      </c>
      <c r="F42" s="175">
        <f t="shared" ca="1" si="25"/>
        <v>49</v>
      </c>
      <c r="G42" s="10">
        <v>25</v>
      </c>
      <c r="H42" s="176">
        <f t="shared" ca="1" si="26"/>
        <v>288</v>
      </c>
      <c r="I42" s="12">
        <f t="shared" ca="1" si="27"/>
        <v>19015.009187179501</v>
      </c>
      <c r="J42" s="12">
        <f t="shared" ca="1" si="2"/>
        <v>10810.397007692325</v>
      </c>
      <c r="K42" s="177">
        <f t="shared" ca="1" si="3"/>
        <v>8204.612179487176</v>
      </c>
      <c r="L42" s="177">
        <f t="shared" ca="1" si="4"/>
        <v>2354723.6955128247</v>
      </c>
      <c r="M42" s="11">
        <f t="shared" ca="1" si="5"/>
        <v>-1.6370904631912708E-11</v>
      </c>
      <c r="N42" s="12">
        <f ca="1">IF(Y42=0, 0, ROUND(SUM(Y$17:Y42)-SUM(J$17:J42),0))</f>
        <v>0</v>
      </c>
      <c r="O42" s="12" t="str">
        <f t="shared" ca="1" si="6"/>
        <v/>
      </c>
      <c r="P42" s="12">
        <f t="shared" ca="1" si="7"/>
        <v>2640000</v>
      </c>
      <c r="Q42" s="178">
        <f t="shared" ca="1" si="37"/>
        <v>5000000</v>
      </c>
      <c r="R42" s="178">
        <f t="shared" ca="1" si="37"/>
        <v>0</v>
      </c>
      <c r="S42" s="178">
        <f t="shared" ca="1" si="37"/>
        <v>358488</v>
      </c>
      <c r="T42" s="178">
        <f t="shared" ca="1" si="37"/>
        <v>628000</v>
      </c>
      <c r="U42" s="179" t="str">
        <f t="shared" ca="1" si="9"/>
        <v/>
      </c>
      <c r="V42" s="180">
        <f t="shared" ca="1" si="0"/>
        <v>4.33</v>
      </c>
      <c r="W42" s="181">
        <f t="shared" ca="1" si="28"/>
        <v>288</v>
      </c>
      <c r="X42" s="177">
        <f t="shared" ca="1" si="10"/>
        <v>19015.009187179487</v>
      </c>
      <c r="Y42" s="12">
        <f t="shared" ca="1" si="11"/>
        <v>10810.397007692309</v>
      </c>
      <c r="Z42" s="182">
        <f t="shared" ca="1" si="12"/>
        <v>2354723.6955128205</v>
      </c>
      <c r="AA42" s="271">
        <f t="shared" ca="1" si="29"/>
        <v>0.22</v>
      </c>
      <c r="AB42" s="12">
        <f t="shared" ca="1" si="13"/>
        <v>16674.941845487192</v>
      </c>
      <c r="AC42" s="12">
        <f t="shared" ca="1" si="14"/>
        <v>16674.941845487177</v>
      </c>
      <c r="AD42" s="199"/>
      <c r="AE42" s="273">
        <f t="shared" ca="1" si="15"/>
        <v>1.6821425527395739E-3</v>
      </c>
      <c r="AF42" s="184">
        <f t="shared" ca="1" si="16"/>
        <v>0.96039999999999903</v>
      </c>
      <c r="AG42" s="12">
        <f t="shared" ca="1" si="17"/>
        <v>16014.614148405883</v>
      </c>
      <c r="AH42" s="12">
        <f t="shared" ca="1" si="18"/>
        <v>16014.61414840587</v>
      </c>
      <c r="AI42" s="185">
        <f t="shared" ca="1" si="19"/>
        <v>49</v>
      </c>
      <c r="AJ42" s="177">
        <f t="shared" ca="1" si="20"/>
        <v>49</v>
      </c>
      <c r="AK42" s="12">
        <f t="shared" ca="1" si="21"/>
        <v>-19064.009187179501</v>
      </c>
      <c r="AL42" s="185">
        <f t="shared" ca="1" si="30"/>
        <v>19015.009187179501</v>
      </c>
      <c r="AM42" s="177">
        <f t="shared" ca="1" si="31"/>
        <v>19052.545287900655</v>
      </c>
      <c r="AN42" s="177">
        <f t="shared" ca="1" si="32"/>
        <v>14780.074226433373</v>
      </c>
      <c r="AO42" s="196">
        <f t="shared" ca="1" si="33"/>
        <v>288</v>
      </c>
      <c r="AP42" s="196">
        <f t="shared" ca="1" si="34"/>
        <v>184</v>
      </c>
      <c r="AQ42" s="177">
        <f t="shared" ca="1" si="35"/>
        <v>0</v>
      </c>
      <c r="AR42" s="177">
        <f t="shared" ca="1" si="36"/>
        <v>37.536100721154071</v>
      </c>
      <c r="AS42" s="189"/>
      <c r="AT42" s="200" t="str">
        <f>"Standardrente: t2xStdRPst"</f>
        <v>Standardrente: t2xStdRPst</v>
      </c>
      <c r="AU42" s="190" t="str">
        <f ca="1">"Kolonnenr i tabell for " &amp; SUBSTITUTE(ADDRESS(1, t2kSPM,4),"1","") &amp; " - """ &amp; INDIRECT(ADDRESS(t2rTLn1-3, t2kSPM)) &amp; """: t2kSPM"</f>
        <v>Kolonnenr i tabell for M - "Sparte renter pr måned": t2kSPM</v>
      </c>
    </row>
    <row r="43" spans="1:47" x14ac:dyDescent="0.6">
      <c r="A43" s="152" t="str">
        <f t="shared" ca="1" si="1"/>
        <v>Februar 2027</v>
      </c>
      <c r="B43" s="191">
        <v>0</v>
      </c>
      <c r="C43" s="270">
        <f t="shared" ca="1" si="22"/>
        <v>5.4899999999999997E-2</v>
      </c>
      <c r="D43" s="192" t="str">
        <f t="shared" ca="1" si="23"/>
        <v/>
      </c>
      <c r="E43" s="193" t="str">
        <f t="shared" ca="1" si="24"/>
        <v/>
      </c>
      <c r="F43" s="194">
        <f t="shared" ca="1" si="25"/>
        <v>49</v>
      </c>
      <c r="G43" s="14">
        <v>26</v>
      </c>
      <c r="H43" s="157">
        <f t="shared" ca="1" si="26"/>
        <v>287</v>
      </c>
      <c r="I43" s="16">
        <f t="shared" ca="1" si="27"/>
        <v>18977.473086458347</v>
      </c>
      <c r="J43" s="16">
        <f t="shared" ca="1" si="2"/>
        <v>10772.860906971173</v>
      </c>
      <c r="K43" s="158">
        <f t="shared" ca="1" si="3"/>
        <v>8204.6121794871742</v>
      </c>
      <c r="L43" s="158">
        <f t="shared" ca="1" si="4"/>
        <v>2346519.0833333377</v>
      </c>
      <c r="M43" s="15">
        <f t="shared" ca="1" si="5"/>
        <v>-2.0008883439004421E-11</v>
      </c>
      <c r="N43" s="16">
        <f ca="1">IF(Y43=0, 0, ROUND(SUM(Y$17:Y43)-SUM(J$17:J43),0))</f>
        <v>0</v>
      </c>
      <c r="O43" s="16" t="str">
        <f t="shared" ca="1" si="6"/>
        <v/>
      </c>
      <c r="P43" s="16">
        <f t="shared" ca="1" si="7"/>
        <v>2650000</v>
      </c>
      <c r="Q43" s="160">
        <f t="shared" ca="1" si="37"/>
        <v>5000000</v>
      </c>
      <c r="R43" s="160">
        <f t="shared" ca="1" si="37"/>
        <v>0</v>
      </c>
      <c r="S43" s="160">
        <f t="shared" ca="1" si="37"/>
        <v>358488</v>
      </c>
      <c r="T43" s="160">
        <f t="shared" ca="1" si="37"/>
        <v>628000</v>
      </c>
      <c r="U43" s="161" t="str">
        <f t="shared" ca="1" si="9"/>
        <v/>
      </c>
      <c r="V43" s="162">
        <f t="shared" ca="1" si="0"/>
        <v>4.3099999999999996</v>
      </c>
      <c r="W43" s="195">
        <f t="shared" ca="1" si="28"/>
        <v>287</v>
      </c>
      <c r="X43" s="158">
        <f t="shared" ca="1" si="10"/>
        <v>18977.473086458333</v>
      </c>
      <c r="Y43" s="16">
        <f t="shared" ca="1" si="11"/>
        <v>10772.860906971153</v>
      </c>
      <c r="Z43" s="164">
        <f t="shared" ca="1" si="12"/>
        <v>2346519.0833333335</v>
      </c>
      <c r="AA43" s="272">
        <f t="shared" ca="1" si="29"/>
        <v>0.22</v>
      </c>
      <c r="AB43" s="16">
        <f t="shared" ca="1" si="13"/>
        <v>16645.663686924687</v>
      </c>
      <c r="AC43" s="16">
        <f t="shared" ca="1" si="14"/>
        <v>16645.663686924679</v>
      </c>
      <c r="AD43" s="197"/>
      <c r="AE43" s="274">
        <f t="shared" ca="1" si="15"/>
        <v>1.6821425527395739E-3</v>
      </c>
      <c r="AF43" s="166">
        <f t="shared" ca="1" si="16"/>
        <v>0.95878447029234792</v>
      </c>
      <c r="AG43" s="16">
        <f t="shared" ca="1" si="17"/>
        <v>15959.603840732658</v>
      </c>
      <c r="AH43" s="16">
        <f t="shared" ca="1" si="18"/>
        <v>15959.60384073265</v>
      </c>
      <c r="AI43" s="168">
        <f t="shared" ca="1" si="19"/>
        <v>49</v>
      </c>
      <c r="AJ43" s="158">
        <f t="shared" ca="1" si="20"/>
        <v>49</v>
      </c>
      <c r="AK43" s="16">
        <f t="shared" ca="1" si="21"/>
        <v>-19026.473086458347</v>
      </c>
      <c r="AL43" s="168">
        <f t="shared" ca="1" si="30"/>
        <v>18977.473086458347</v>
      </c>
      <c r="AM43" s="158">
        <f t="shared" ca="1" si="31"/>
        <v>19015.009187179501</v>
      </c>
      <c r="AN43" s="158">
        <f t="shared" ca="1" si="32"/>
        <v>14753.540207457645</v>
      </c>
      <c r="AO43" s="169">
        <f t="shared" ca="1" si="33"/>
        <v>287</v>
      </c>
      <c r="AP43" s="169">
        <f t="shared" ca="1" si="34"/>
        <v>184</v>
      </c>
      <c r="AQ43" s="158">
        <f t="shared" ca="1" si="35"/>
        <v>0</v>
      </c>
      <c r="AR43" s="158">
        <f t="shared" ca="1" si="36"/>
        <v>37.536100721154071</v>
      </c>
      <c r="AS43" s="170"/>
      <c r="AT43" s="277">
        <v>0.05</v>
      </c>
      <c r="AU43" s="159">
        <f>COLUMN($M$16)</f>
        <v>13</v>
      </c>
    </row>
    <row r="44" spans="1:47" x14ac:dyDescent="0.6">
      <c r="A44" s="171" t="str">
        <f t="shared" ca="1" si="1"/>
        <v>Mars 2027</v>
      </c>
      <c r="B44" s="191">
        <v>0</v>
      </c>
      <c r="C44" s="269">
        <f t="shared" ca="1" si="22"/>
        <v>5.4899999999999997E-2</v>
      </c>
      <c r="D44" s="173" t="str">
        <f t="shared" ca="1" si="23"/>
        <v/>
      </c>
      <c r="E44" s="174" t="str">
        <f t="shared" ca="1" si="24"/>
        <v/>
      </c>
      <c r="F44" s="175">
        <f t="shared" ca="1" si="25"/>
        <v>49</v>
      </c>
      <c r="G44" s="10">
        <v>27</v>
      </c>
      <c r="H44" s="176">
        <f t="shared" ca="1" si="26"/>
        <v>286</v>
      </c>
      <c r="I44" s="12">
        <f t="shared" ca="1" si="27"/>
        <v>18939.936985737193</v>
      </c>
      <c r="J44" s="12">
        <f t="shared" ca="1" si="2"/>
        <v>10735.324806250019</v>
      </c>
      <c r="K44" s="177">
        <f t="shared" ca="1" si="3"/>
        <v>8204.6121794871742</v>
      </c>
      <c r="L44" s="177">
        <f t="shared" ca="1" si="4"/>
        <v>2338314.4711538507</v>
      </c>
      <c r="M44" s="11">
        <f t="shared" ca="1" si="5"/>
        <v>-1.8189894035458565E-11</v>
      </c>
      <c r="N44" s="12">
        <f ca="1">IF(Y44=0, 0, ROUND(SUM(Y$17:Y44)-SUM(J$17:J44),0))</f>
        <v>0</v>
      </c>
      <c r="O44" s="12" t="str">
        <f t="shared" ca="1" si="6"/>
        <v/>
      </c>
      <c r="P44" s="12">
        <f t="shared" ca="1" si="7"/>
        <v>2660000</v>
      </c>
      <c r="Q44" s="178">
        <f t="shared" ca="1" si="37"/>
        <v>5000000</v>
      </c>
      <c r="R44" s="178">
        <f t="shared" ca="1" si="37"/>
        <v>0</v>
      </c>
      <c r="S44" s="178">
        <f t="shared" ca="1" si="37"/>
        <v>358488</v>
      </c>
      <c r="T44" s="178">
        <f t="shared" ca="1" si="37"/>
        <v>628000</v>
      </c>
      <c r="U44" s="179" t="str">
        <f t="shared" ca="1" si="9"/>
        <v/>
      </c>
      <c r="V44" s="180">
        <f t="shared" ca="1" si="0"/>
        <v>4.3</v>
      </c>
      <c r="W44" s="181">
        <f t="shared" ca="1" si="28"/>
        <v>286</v>
      </c>
      <c r="X44" s="177">
        <f t="shared" ca="1" si="10"/>
        <v>18939.936985737178</v>
      </c>
      <c r="Y44" s="12">
        <f t="shared" ca="1" si="11"/>
        <v>10735.324806250001</v>
      </c>
      <c r="Z44" s="182">
        <f t="shared" ca="1" si="12"/>
        <v>2338314.4711538465</v>
      </c>
      <c r="AA44" s="271">
        <f t="shared" ca="1" si="29"/>
        <v>0.22</v>
      </c>
      <c r="AB44" s="12">
        <f t="shared" ca="1" si="13"/>
        <v>16616.385528362189</v>
      </c>
      <c r="AC44" s="12">
        <f t="shared" ca="1" si="14"/>
        <v>16616.385528362178</v>
      </c>
      <c r="AD44" s="199"/>
      <c r="AE44" s="273">
        <f t="shared" ca="1" si="15"/>
        <v>1.6821425527395739E-3</v>
      </c>
      <c r="AF44" s="184">
        <f t="shared" ca="1" si="16"/>
        <v>0.95717165813596328</v>
      </c>
      <c r="AG44" s="12">
        <f t="shared" ca="1" si="17"/>
        <v>15904.733288408861</v>
      </c>
      <c r="AH44" s="12">
        <f t="shared" ca="1" si="18"/>
        <v>15904.73328840885</v>
      </c>
      <c r="AI44" s="185">
        <f t="shared" ca="1" si="19"/>
        <v>49</v>
      </c>
      <c r="AJ44" s="177">
        <f t="shared" ca="1" si="20"/>
        <v>49</v>
      </c>
      <c r="AK44" s="12">
        <f t="shared" ca="1" si="21"/>
        <v>-18988.936985737193</v>
      </c>
      <c r="AL44" s="185">
        <f t="shared" ca="1" si="30"/>
        <v>18939.936985737193</v>
      </c>
      <c r="AM44" s="177">
        <f t="shared" ca="1" si="31"/>
        <v>18977.473086458347</v>
      </c>
      <c r="AN44" s="177">
        <f t="shared" ca="1" si="32"/>
        <v>14727.030306913797</v>
      </c>
      <c r="AO44" s="196">
        <f t="shared" ca="1" si="33"/>
        <v>286</v>
      </c>
      <c r="AP44" s="196">
        <f t="shared" ca="1" si="34"/>
        <v>183</v>
      </c>
      <c r="AQ44" s="177">
        <f t="shared" ca="1" si="35"/>
        <v>0</v>
      </c>
      <c r="AR44" s="177">
        <f t="shared" ca="1" si="36"/>
        <v>37.536100721154071</v>
      </c>
      <c r="AS44" s="189"/>
      <c r="AT44" s="200" t="str">
        <f>"Antall måneder til standardrenten evt. skal tas i bruk: t2xStdRAntMnd"</f>
        <v>Antall måneder til standardrenten evt. skal tas i bruk: t2xStdRAntMnd</v>
      </c>
      <c r="AU44" s="190" t="str">
        <f ca="1">"Kolonnenr i tabell for " &amp; SUBSTITUTE(ADDRESS(1, t2kSAkk,4),"1","") &amp; " - """ &amp; INDIRECT(ADDRESS(t2rTLn1-3, t2kSAkk)) &amp; """: t2kSAkk"</f>
        <v>Kolonnenr i tabell for N - "Sparte renter akkumulert": t2kSAkk</v>
      </c>
    </row>
    <row r="45" spans="1:47" x14ac:dyDescent="0.6">
      <c r="A45" s="152" t="str">
        <f t="shared" ca="1" si="1"/>
        <v>April 2027</v>
      </c>
      <c r="B45" s="191">
        <v>0</v>
      </c>
      <c r="C45" s="270">
        <f t="shared" ca="1" si="22"/>
        <v>5.4899999999999997E-2</v>
      </c>
      <c r="D45" s="192" t="str">
        <f t="shared" ca="1" si="23"/>
        <v/>
      </c>
      <c r="E45" s="193" t="str">
        <f t="shared" ca="1" si="24"/>
        <v/>
      </c>
      <c r="F45" s="194">
        <f t="shared" ca="1" si="25"/>
        <v>49</v>
      </c>
      <c r="G45" s="14">
        <v>28</v>
      </c>
      <c r="H45" s="157">
        <f t="shared" ca="1" si="26"/>
        <v>285</v>
      </c>
      <c r="I45" s="16">
        <f t="shared" ca="1" si="27"/>
        <v>18902.400885016039</v>
      </c>
      <c r="J45" s="16">
        <f t="shared" ca="1" si="2"/>
        <v>10697.788705528867</v>
      </c>
      <c r="K45" s="158">
        <f t="shared" ca="1" si="3"/>
        <v>8204.6121794871724</v>
      </c>
      <c r="L45" s="158">
        <f t="shared" ca="1" si="4"/>
        <v>2330109.8589743637</v>
      </c>
      <c r="M45" s="15">
        <f t="shared" ca="1" si="5"/>
        <v>-2.0008883439004421E-11</v>
      </c>
      <c r="N45" s="16">
        <f ca="1">IF(Y45=0, 0, ROUND(SUM(Y$17:Y45)-SUM(J$17:J45),0))</f>
        <v>0</v>
      </c>
      <c r="O45" s="16" t="str">
        <f t="shared" ca="1" si="6"/>
        <v/>
      </c>
      <c r="P45" s="16" t="str">
        <f t="shared" ca="1" si="7"/>
        <v/>
      </c>
      <c r="Q45" s="160">
        <f t="shared" ca="1" si="37"/>
        <v>5000000</v>
      </c>
      <c r="R45" s="160">
        <f t="shared" ca="1" si="37"/>
        <v>0</v>
      </c>
      <c r="S45" s="160">
        <f t="shared" ca="1" si="37"/>
        <v>358488</v>
      </c>
      <c r="T45" s="160">
        <f t="shared" ca="1" si="37"/>
        <v>628000</v>
      </c>
      <c r="U45" s="161" t="str">
        <f t="shared" ca="1" si="9"/>
        <v/>
      </c>
      <c r="V45" s="162">
        <f t="shared" ca="1" si="0"/>
        <v>4.29</v>
      </c>
      <c r="W45" s="195">
        <f t="shared" ca="1" si="28"/>
        <v>285</v>
      </c>
      <c r="X45" s="158">
        <f t="shared" ca="1" si="10"/>
        <v>18902.400885016024</v>
      </c>
      <c r="Y45" s="16">
        <f t="shared" ca="1" si="11"/>
        <v>10697.788705528847</v>
      </c>
      <c r="Z45" s="164">
        <f t="shared" ca="1" si="12"/>
        <v>2330109.858974359</v>
      </c>
      <c r="AA45" s="272">
        <f t="shared" ca="1" si="29"/>
        <v>0.22</v>
      </c>
      <c r="AB45" s="16">
        <f t="shared" ca="1" si="13"/>
        <v>16587.107369799691</v>
      </c>
      <c r="AC45" s="16">
        <f t="shared" ca="1" si="14"/>
        <v>16587.107369799676</v>
      </c>
      <c r="AD45" s="197"/>
      <c r="AE45" s="274">
        <f t="shared" ca="1" si="15"/>
        <v>1.6821425527395739E-3</v>
      </c>
      <c r="AF45" s="166">
        <f t="shared" ca="1" si="16"/>
        <v>0.95556155895953643</v>
      </c>
      <c r="AG45" s="16">
        <f t="shared" ca="1" si="17"/>
        <v>15850.002176915008</v>
      </c>
      <c r="AH45" s="16">
        <f t="shared" ca="1" si="18"/>
        <v>15850.002176914995</v>
      </c>
      <c r="AI45" s="168">
        <f t="shared" ca="1" si="19"/>
        <v>49</v>
      </c>
      <c r="AJ45" s="158">
        <f t="shared" ca="1" si="20"/>
        <v>49</v>
      </c>
      <c r="AK45" s="16">
        <f t="shared" ca="1" si="21"/>
        <v>-18951.400885016039</v>
      </c>
      <c r="AL45" s="168">
        <f t="shared" ca="1" si="30"/>
        <v>18902.400885016039</v>
      </c>
      <c r="AM45" s="158">
        <f t="shared" ca="1" si="31"/>
        <v>18939.936985737193</v>
      </c>
      <c r="AN45" s="158">
        <f t="shared" ca="1" si="32"/>
        <v>14700.544552712439</v>
      </c>
      <c r="AO45" s="169">
        <f t="shared" ca="1" si="33"/>
        <v>285</v>
      </c>
      <c r="AP45" s="169">
        <f t="shared" ca="1" si="34"/>
        <v>183</v>
      </c>
      <c r="AQ45" s="158">
        <f t="shared" ca="1" si="35"/>
        <v>0</v>
      </c>
      <c r="AR45" s="158">
        <f t="shared" ca="1" si="36"/>
        <v>37.536100721154071</v>
      </c>
      <c r="AS45" s="170"/>
      <c r="AT45" s="201">
        <v>48</v>
      </c>
      <c r="AU45" s="159">
        <f>COLUMN($N$16)</f>
        <v>14</v>
      </c>
    </row>
    <row r="46" spans="1:47" x14ac:dyDescent="0.6">
      <c r="A46" s="171" t="str">
        <f t="shared" ca="1" si="1"/>
        <v>Mai 2027</v>
      </c>
      <c r="B46" s="191">
        <v>0</v>
      </c>
      <c r="C46" s="269">
        <f t="shared" ca="1" si="22"/>
        <v>5.4899999999999997E-2</v>
      </c>
      <c r="D46" s="173" t="str">
        <f t="shared" ca="1" si="23"/>
        <v/>
      </c>
      <c r="E46" s="174" t="str">
        <f t="shared" ca="1" si="24"/>
        <v/>
      </c>
      <c r="F46" s="175">
        <f t="shared" ca="1" si="25"/>
        <v>49</v>
      </c>
      <c r="G46" s="10">
        <v>29</v>
      </c>
      <c r="H46" s="176">
        <f t="shared" ca="1" si="26"/>
        <v>284</v>
      </c>
      <c r="I46" s="12">
        <f t="shared" ca="1" si="27"/>
        <v>18864.864784294885</v>
      </c>
      <c r="J46" s="12">
        <f t="shared" ca="1" si="2"/>
        <v>10660.252604807714</v>
      </c>
      <c r="K46" s="177">
        <f t="shared" ca="1" si="3"/>
        <v>8204.6121794871706</v>
      </c>
      <c r="L46" s="177">
        <f t="shared" ca="1" si="4"/>
        <v>2321905.2467948766</v>
      </c>
      <c r="M46" s="11">
        <f t="shared" ca="1" si="5"/>
        <v>-2.1827872842550278E-11</v>
      </c>
      <c r="N46" s="12">
        <f ca="1">IF(Y46=0, 0, ROUND(SUM(Y$17:Y46)-SUM(J$17:J46),0))</f>
        <v>0</v>
      </c>
      <c r="O46" s="12" t="str">
        <f t="shared" ca="1" si="6"/>
        <v/>
      </c>
      <c r="P46" s="12">
        <f t="shared" ca="1" si="7"/>
        <v>2670000</v>
      </c>
      <c r="Q46" s="178">
        <f t="shared" ca="1" si="37"/>
        <v>5000000</v>
      </c>
      <c r="R46" s="178">
        <f t="shared" ca="1" si="37"/>
        <v>0</v>
      </c>
      <c r="S46" s="178">
        <f t="shared" ca="1" si="37"/>
        <v>358488</v>
      </c>
      <c r="T46" s="178">
        <f t="shared" ca="1" si="37"/>
        <v>628000</v>
      </c>
      <c r="U46" s="179" t="str">
        <f t="shared" ca="1" si="9"/>
        <v/>
      </c>
      <c r="V46" s="180">
        <f t="shared" ca="1" si="0"/>
        <v>4.2699999999999996</v>
      </c>
      <c r="W46" s="181">
        <f t="shared" ca="1" si="28"/>
        <v>284</v>
      </c>
      <c r="X46" s="177">
        <f t="shared" ca="1" si="10"/>
        <v>18864.86478429487</v>
      </c>
      <c r="Y46" s="12">
        <f t="shared" ca="1" si="11"/>
        <v>10660.252604807692</v>
      </c>
      <c r="Z46" s="182">
        <f t="shared" ca="1" si="12"/>
        <v>2321905.246794872</v>
      </c>
      <c r="AA46" s="271">
        <f t="shared" ca="1" si="29"/>
        <v>0.22</v>
      </c>
      <c r="AB46" s="12">
        <f t="shared" ca="1" si="13"/>
        <v>16557.829211237186</v>
      </c>
      <c r="AC46" s="12">
        <f t="shared" ca="1" si="14"/>
        <v>16557.829211237178</v>
      </c>
      <c r="AD46" s="199"/>
      <c r="AE46" s="273">
        <f t="shared" ca="1" si="15"/>
        <v>1.6821425527395739E-3</v>
      </c>
      <c r="AF46" s="184">
        <f t="shared" ca="1" si="16"/>
        <v>0.95395416819944845</v>
      </c>
      <c r="AG46" s="12">
        <f t="shared" ca="1" si="17"/>
        <v>15795.410192394298</v>
      </c>
      <c r="AH46" s="12">
        <f t="shared" ca="1" si="18"/>
        <v>15795.410192394293</v>
      </c>
      <c r="AI46" s="185">
        <f t="shared" ca="1" si="19"/>
        <v>49</v>
      </c>
      <c r="AJ46" s="177">
        <f t="shared" ca="1" si="20"/>
        <v>49</v>
      </c>
      <c r="AK46" s="12">
        <f t="shared" ca="1" si="21"/>
        <v>-18913.864784294885</v>
      </c>
      <c r="AL46" s="185">
        <f t="shared" ca="1" si="30"/>
        <v>18864.864784294885</v>
      </c>
      <c r="AM46" s="177">
        <f t="shared" ca="1" si="31"/>
        <v>18902.400885016039</v>
      </c>
      <c r="AN46" s="177">
        <f t="shared" ca="1" si="32"/>
        <v>14674.082972704899</v>
      </c>
      <c r="AO46" s="196">
        <f t="shared" ca="1" si="33"/>
        <v>284</v>
      </c>
      <c r="AP46" s="196">
        <f t="shared" ca="1" si="34"/>
        <v>182</v>
      </c>
      <c r="AQ46" s="177">
        <f t="shared" ca="1" si="35"/>
        <v>0</v>
      </c>
      <c r="AR46" s="177">
        <f t="shared" ca="1" si="36"/>
        <v>37.536100721154071</v>
      </c>
      <c r="AS46" s="189"/>
      <c r="AT46" s="190" t="str">
        <f>"Terminnummeret hvor standardrenten evt. tas i bruk: t2vStdRTNr"</f>
        <v>Terminnummeret hvor standardrenten evt. tas i bruk: t2vStdRTNr</v>
      </c>
      <c r="AU46" s="190" t="str">
        <f ca="1">"Kolonnenr i tabell for " &amp; SUBSTITUTE(ADDRESS(1, t2kERed,4),"1","") &amp; " - """ &amp; INDIRECT(ADDRESS(t2rTLn1-3, t2kERed)) &amp; """: t2kERed"</f>
        <v>Kolonnenr i tabell for O - "Ekstra reduksjon av saldo så langt": t2kERed</v>
      </c>
    </row>
    <row r="47" spans="1:47" x14ac:dyDescent="0.6">
      <c r="A47" s="152" t="str">
        <f t="shared" ca="1" si="1"/>
        <v>Juni 2027</v>
      </c>
      <c r="B47" s="191">
        <v>0</v>
      </c>
      <c r="C47" s="270">
        <f t="shared" ca="1" si="22"/>
        <v>5.4899999999999997E-2</v>
      </c>
      <c r="D47" s="192" t="str">
        <f t="shared" ca="1" si="23"/>
        <v/>
      </c>
      <c r="E47" s="193" t="str">
        <f t="shared" ca="1" si="24"/>
        <v/>
      </c>
      <c r="F47" s="194">
        <f t="shared" ca="1" si="25"/>
        <v>49</v>
      </c>
      <c r="G47" s="14">
        <v>30</v>
      </c>
      <c r="H47" s="157">
        <f t="shared" ca="1" si="26"/>
        <v>283</v>
      </c>
      <c r="I47" s="16">
        <f t="shared" ca="1" si="27"/>
        <v>18827.328683573731</v>
      </c>
      <c r="J47" s="16">
        <f t="shared" ca="1" si="2"/>
        <v>10622.71650408656</v>
      </c>
      <c r="K47" s="158">
        <f t="shared" ca="1" si="3"/>
        <v>8204.6121794871706</v>
      </c>
      <c r="L47" s="158">
        <f t="shared" ca="1" si="4"/>
        <v>2313700.6346153896</v>
      </c>
      <c r="M47" s="15">
        <f t="shared" ca="1" si="5"/>
        <v>-2.1827872842550278E-11</v>
      </c>
      <c r="N47" s="16">
        <f ca="1">IF(Y47=0, 0, ROUND(SUM(Y$17:Y47)-SUM(J$17:J47),0))</f>
        <v>0</v>
      </c>
      <c r="O47" s="16" t="str">
        <f t="shared" ca="1" si="6"/>
        <v/>
      </c>
      <c r="P47" s="16">
        <f t="shared" ca="1" si="7"/>
        <v>2680000</v>
      </c>
      <c r="Q47" s="160">
        <f t="shared" ca="1" si="37"/>
        <v>5000000</v>
      </c>
      <c r="R47" s="160">
        <f t="shared" ca="1" si="37"/>
        <v>0</v>
      </c>
      <c r="S47" s="160">
        <f t="shared" ca="1" si="37"/>
        <v>358488</v>
      </c>
      <c r="T47" s="160">
        <f t="shared" ca="1" si="37"/>
        <v>628000</v>
      </c>
      <c r="U47" s="161" t="str">
        <f t="shared" ca="1" si="9"/>
        <v/>
      </c>
      <c r="V47" s="162">
        <f t="shared" ca="1" si="0"/>
        <v>4.26</v>
      </c>
      <c r="W47" s="195">
        <f t="shared" ca="1" si="28"/>
        <v>283</v>
      </c>
      <c r="X47" s="158">
        <f t="shared" ca="1" si="10"/>
        <v>18827.328683573716</v>
      </c>
      <c r="Y47" s="16">
        <f t="shared" ca="1" si="11"/>
        <v>10622.716504086538</v>
      </c>
      <c r="Z47" s="164">
        <f t="shared" ca="1" si="12"/>
        <v>2313700.634615385</v>
      </c>
      <c r="AA47" s="272">
        <f t="shared" ca="1" si="29"/>
        <v>0.22</v>
      </c>
      <c r="AB47" s="16">
        <f t="shared" ca="1" si="13"/>
        <v>16528.551052674688</v>
      </c>
      <c r="AC47" s="16">
        <f t="shared" ca="1" si="14"/>
        <v>16528.55105267468</v>
      </c>
      <c r="AD47" s="197"/>
      <c r="AE47" s="274">
        <f t="shared" ca="1" si="15"/>
        <v>1.6821425527395739E-3</v>
      </c>
      <c r="AF47" s="166">
        <f t="shared" ca="1" si="16"/>
        <v>0.95234948129975683</v>
      </c>
      <c r="AG47" s="16">
        <f t="shared" ca="1" si="17"/>
        <v>15740.957021651288</v>
      </c>
      <c r="AH47" s="16">
        <f t="shared" ca="1" si="18"/>
        <v>15740.957021651282</v>
      </c>
      <c r="AI47" s="168">
        <f t="shared" ca="1" si="19"/>
        <v>49</v>
      </c>
      <c r="AJ47" s="158">
        <f t="shared" ca="1" si="20"/>
        <v>49</v>
      </c>
      <c r="AK47" s="16">
        <f t="shared" ca="1" si="21"/>
        <v>-18876.328683573731</v>
      </c>
      <c r="AL47" s="168">
        <f t="shared" ca="1" si="30"/>
        <v>18827.328683573731</v>
      </c>
      <c r="AM47" s="158">
        <f t="shared" ca="1" si="31"/>
        <v>18864.864784294885</v>
      </c>
      <c r="AN47" s="158">
        <f t="shared" ca="1" si="32"/>
        <v>14647.645594682886</v>
      </c>
      <c r="AO47" s="169">
        <f t="shared" ca="1" si="33"/>
        <v>283</v>
      </c>
      <c r="AP47" s="169">
        <f t="shared" ca="1" si="34"/>
        <v>182</v>
      </c>
      <c r="AQ47" s="158">
        <f t="shared" ca="1" si="35"/>
        <v>0</v>
      </c>
      <c r="AR47" s="158">
        <f t="shared" ca="1" si="36"/>
        <v>37.536100721154071</v>
      </c>
      <c r="AS47" s="170"/>
      <c r="AT47" s="159">
        <f ca="1">$R$9+IF(t2xStdRAntMnd&lt;1, 0, t2xStdRAntMnd)</f>
        <v>49</v>
      </c>
      <c r="AU47" s="159">
        <f>COLUMN($O$16)</f>
        <v>15</v>
      </c>
    </row>
    <row r="48" spans="1:47" x14ac:dyDescent="0.6">
      <c r="A48" s="171" t="str">
        <f t="shared" ca="1" si="1"/>
        <v>Juli 2027</v>
      </c>
      <c r="B48" s="191">
        <v>0</v>
      </c>
      <c r="C48" s="269">
        <f t="shared" ca="1" si="22"/>
        <v>5.4899999999999997E-2</v>
      </c>
      <c r="D48" s="173" t="str">
        <f t="shared" ca="1" si="23"/>
        <v/>
      </c>
      <c r="E48" s="174" t="str">
        <f t="shared" ca="1" si="24"/>
        <v/>
      </c>
      <c r="F48" s="175">
        <f t="shared" ca="1" si="25"/>
        <v>49</v>
      </c>
      <c r="G48" s="10">
        <v>31</v>
      </c>
      <c r="H48" s="176">
        <f t="shared" ca="1" si="26"/>
        <v>282</v>
      </c>
      <c r="I48" s="12">
        <f t="shared" ca="1" si="27"/>
        <v>18789.792582852577</v>
      </c>
      <c r="J48" s="12">
        <f t="shared" ca="1" si="2"/>
        <v>10585.180403365406</v>
      </c>
      <c r="K48" s="177">
        <f t="shared" ca="1" si="3"/>
        <v>8204.6121794871706</v>
      </c>
      <c r="L48" s="177">
        <f t="shared" ca="1" si="4"/>
        <v>2305496.0224359026</v>
      </c>
      <c r="M48" s="11">
        <f t="shared" ca="1" si="5"/>
        <v>-2.0008883439004421E-11</v>
      </c>
      <c r="N48" s="12">
        <f ca="1">IF(Y48=0, 0, ROUND(SUM(Y$17:Y48)-SUM(J$17:J48),0))</f>
        <v>0</v>
      </c>
      <c r="O48" s="12" t="str">
        <f t="shared" ca="1" si="6"/>
        <v/>
      </c>
      <c r="P48" s="12">
        <f t="shared" ca="1" si="7"/>
        <v>2690000</v>
      </c>
      <c r="Q48" s="178">
        <f t="shared" ca="1" si="37"/>
        <v>5000000</v>
      </c>
      <c r="R48" s="178">
        <f t="shared" ca="1" si="37"/>
        <v>0</v>
      </c>
      <c r="S48" s="178">
        <f t="shared" ca="1" si="37"/>
        <v>358488</v>
      </c>
      <c r="T48" s="178">
        <f t="shared" ca="1" si="37"/>
        <v>628000</v>
      </c>
      <c r="U48" s="179" t="str">
        <f t="shared" ca="1" si="9"/>
        <v/>
      </c>
      <c r="V48" s="180">
        <f t="shared" ca="1" si="0"/>
        <v>4.25</v>
      </c>
      <c r="W48" s="181">
        <f t="shared" ca="1" si="28"/>
        <v>282</v>
      </c>
      <c r="X48" s="177">
        <f t="shared" ca="1" si="10"/>
        <v>18789.792582852566</v>
      </c>
      <c r="Y48" s="12">
        <f t="shared" ca="1" si="11"/>
        <v>10585.180403365386</v>
      </c>
      <c r="Z48" s="182">
        <f t="shared" ca="1" si="12"/>
        <v>2305496.0224358975</v>
      </c>
      <c r="AA48" s="271">
        <f t="shared" ca="1" si="29"/>
        <v>0.22</v>
      </c>
      <c r="AB48" s="12">
        <f t="shared" ca="1" si="13"/>
        <v>16499.27289411219</v>
      </c>
      <c r="AC48" s="12">
        <f t="shared" ca="1" si="14"/>
        <v>16499.272894112182</v>
      </c>
      <c r="AD48" s="199"/>
      <c r="AE48" s="273">
        <f t="shared" ca="1" si="15"/>
        <v>1.6821425527395739E-3</v>
      </c>
      <c r="AF48" s="184">
        <f t="shared" ca="1" si="16"/>
        <v>0.95074749371218303</v>
      </c>
      <c r="AG48" s="12">
        <f t="shared" ca="1" si="17"/>
        <v>15686.64235215052</v>
      </c>
      <c r="AH48" s="12">
        <f t="shared" ca="1" si="18"/>
        <v>15686.642352150515</v>
      </c>
      <c r="AI48" s="185">
        <f t="shared" ca="1" si="19"/>
        <v>49</v>
      </c>
      <c r="AJ48" s="177">
        <f t="shared" ca="1" si="20"/>
        <v>49</v>
      </c>
      <c r="AK48" s="12">
        <f t="shared" ca="1" si="21"/>
        <v>-18838.792582852577</v>
      </c>
      <c r="AL48" s="185">
        <f t="shared" ca="1" si="30"/>
        <v>18789.792582852577</v>
      </c>
      <c r="AM48" s="177">
        <f t="shared" ca="1" si="31"/>
        <v>18827.328683573731</v>
      </c>
      <c r="AN48" s="177">
        <f t="shared" ca="1" si="32"/>
        <v>14621.232446378146</v>
      </c>
      <c r="AO48" s="196">
        <f t="shared" ca="1" si="33"/>
        <v>282</v>
      </c>
      <c r="AP48" s="196">
        <f t="shared" ca="1" si="34"/>
        <v>181</v>
      </c>
      <c r="AQ48" s="177">
        <f t="shared" ca="1" si="35"/>
        <v>0</v>
      </c>
      <c r="AR48" s="177">
        <f t="shared" ca="1" si="36"/>
        <v>37.536100721154071</v>
      </c>
      <c r="AS48" s="189"/>
      <c r="AT48" s="190" t="s">
        <v>127</v>
      </c>
      <c r="AU48" s="190" t="str">
        <f ca="1">"Kolonnenr i tabell for " &amp; SUBSTITUTE(ADDRESS(1, t2kKap,4),"1","") &amp; " - """ &amp; INDIRECT(ADDRESS(t2rTLn1-3, t2kKap)) &amp; """: t2kKap"</f>
        <v>Kolonnenr i tabell for P - "Kapital i låneobjektet": t2kKap</v>
      </c>
    </row>
    <row r="49" spans="1:47" x14ac:dyDescent="0.6">
      <c r="A49" s="152" t="str">
        <f t="shared" ca="1" si="1"/>
        <v>August 2027</v>
      </c>
      <c r="B49" s="191">
        <v>0</v>
      </c>
      <c r="C49" s="270">
        <f t="shared" ca="1" si="22"/>
        <v>5.4899999999999997E-2</v>
      </c>
      <c r="D49" s="192" t="str">
        <f t="shared" ca="1" si="23"/>
        <v/>
      </c>
      <c r="E49" s="193" t="str">
        <f t="shared" ca="1" si="24"/>
        <v/>
      </c>
      <c r="F49" s="194">
        <f t="shared" ca="1" si="25"/>
        <v>49</v>
      </c>
      <c r="G49" s="14">
        <v>32</v>
      </c>
      <c r="H49" s="157">
        <f t="shared" ca="1" si="26"/>
        <v>281</v>
      </c>
      <c r="I49" s="16">
        <f t="shared" ca="1" si="27"/>
        <v>18752.256482131423</v>
      </c>
      <c r="J49" s="16">
        <f t="shared" ca="1" si="2"/>
        <v>10547.644302644254</v>
      </c>
      <c r="K49" s="158">
        <f t="shared" ca="1" si="3"/>
        <v>8204.6121794871688</v>
      </c>
      <c r="L49" s="158">
        <f t="shared" ca="1" si="4"/>
        <v>2297291.4102564156</v>
      </c>
      <c r="M49" s="15">
        <f t="shared" ca="1" si="5"/>
        <v>-2.3646862246096134E-11</v>
      </c>
      <c r="N49" s="16">
        <f ca="1">IF(Y49=0, 0, ROUND(SUM(Y$17:Y49)-SUM(J$17:J49),0))</f>
        <v>0</v>
      </c>
      <c r="O49" s="16" t="str">
        <f t="shared" ca="1" si="6"/>
        <v/>
      </c>
      <c r="P49" s="16">
        <f t="shared" ca="1" si="7"/>
        <v>2700000</v>
      </c>
      <c r="Q49" s="160">
        <f t="shared" ca="1" si="37"/>
        <v>5000000</v>
      </c>
      <c r="R49" s="160">
        <f t="shared" ca="1" si="37"/>
        <v>0</v>
      </c>
      <c r="S49" s="160">
        <f t="shared" ca="1" si="37"/>
        <v>358488</v>
      </c>
      <c r="T49" s="160">
        <f t="shared" ca="1" si="37"/>
        <v>628000</v>
      </c>
      <c r="U49" s="161" t="str">
        <f t="shared" ca="1" si="9"/>
        <v/>
      </c>
      <c r="V49" s="162">
        <f t="shared" ca="1" si="0"/>
        <v>4.2299999999999995</v>
      </c>
      <c r="W49" s="195">
        <f t="shared" ca="1" si="28"/>
        <v>281</v>
      </c>
      <c r="X49" s="158">
        <f t="shared" ca="1" si="10"/>
        <v>18752.256482131408</v>
      </c>
      <c r="Y49" s="16">
        <f t="shared" ca="1" si="11"/>
        <v>10547.64430264423</v>
      </c>
      <c r="Z49" s="164">
        <f t="shared" ca="1" si="12"/>
        <v>2297291.4102564105</v>
      </c>
      <c r="AA49" s="272">
        <f t="shared" ca="1" si="29"/>
        <v>0.22</v>
      </c>
      <c r="AB49" s="16">
        <f t="shared" ca="1" si="13"/>
        <v>16469.994735549688</v>
      </c>
      <c r="AC49" s="16">
        <f t="shared" ca="1" si="14"/>
        <v>16469.994735549677</v>
      </c>
      <c r="AD49" s="197"/>
      <c r="AE49" s="274">
        <f t="shared" ca="1" si="15"/>
        <v>1.6821425527395739E-3</v>
      </c>
      <c r="AF49" s="166">
        <f t="shared" ca="1" si="16"/>
        <v>0.9491482008960993</v>
      </c>
      <c r="AG49" s="16">
        <f t="shared" ca="1" si="17"/>
        <v>15632.465872015213</v>
      </c>
      <c r="AH49" s="16">
        <f t="shared" ca="1" si="18"/>
        <v>15632.465872015202</v>
      </c>
      <c r="AI49" s="168">
        <f t="shared" ca="1" si="19"/>
        <v>49</v>
      </c>
      <c r="AJ49" s="158">
        <f t="shared" ca="1" si="20"/>
        <v>49</v>
      </c>
      <c r="AK49" s="16">
        <f t="shared" ca="1" si="21"/>
        <v>-18801.256482131423</v>
      </c>
      <c r="AL49" s="168">
        <f t="shared" ca="1" si="30"/>
        <v>18752.256482131423</v>
      </c>
      <c r="AM49" s="158">
        <f t="shared" ca="1" si="31"/>
        <v>18789.792582852577</v>
      </c>
      <c r="AN49" s="158">
        <f t="shared" ca="1" si="32"/>
        <v>14594.843555462126</v>
      </c>
      <c r="AO49" s="169">
        <f t="shared" ca="1" si="33"/>
        <v>281</v>
      </c>
      <c r="AP49" s="169">
        <f t="shared" ca="1" si="34"/>
        <v>181</v>
      </c>
      <c r="AQ49" s="158">
        <f t="shared" ca="1" si="35"/>
        <v>0</v>
      </c>
      <c r="AR49" s="158">
        <f t="shared" ca="1" si="36"/>
        <v>37.536100721154071</v>
      </c>
      <c r="AS49" s="170"/>
      <c r="AT49" s="278" t="b">
        <f ca="1">YEAR(TODAY()) * 12 + MONTH(TODAY()) &lt; YEAR($E$5) * 12 + MONTH($E$5)</f>
        <v>0</v>
      </c>
      <c r="AU49" s="159">
        <f>COLUMN($P$16)</f>
        <v>16</v>
      </c>
    </row>
    <row r="50" spans="1:47" x14ac:dyDescent="0.6">
      <c r="A50" s="171" t="str">
        <f t="shared" ca="1" si="1"/>
        <v>September 2027</v>
      </c>
      <c r="B50" s="191">
        <v>0</v>
      </c>
      <c r="C50" s="269">
        <f t="shared" ca="1" si="22"/>
        <v>5.4899999999999997E-2</v>
      </c>
      <c r="D50" s="173" t="str">
        <f t="shared" ca="1" si="23"/>
        <v/>
      </c>
      <c r="E50" s="174" t="str">
        <f t="shared" ca="1" si="24"/>
        <v/>
      </c>
      <c r="F50" s="175">
        <f t="shared" ca="1" si="25"/>
        <v>49</v>
      </c>
      <c r="G50" s="10">
        <v>33</v>
      </c>
      <c r="H50" s="176">
        <f t="shared" ca="1" si="26"/>
        <v>280</v>
      </c>
      <c r="I50" s="12">
        <f t="shared" ca="1" si="27"/>
        <v>18714.720381410269</v>
      </c>
      <c r="J50" s="12">
        <f t="shared" ca="1" si="2"/>
        <v>10510.108201923102</v>
      </c>
      <c r="K50" s="177">
        <f t="shared" ca="1" si="3"/>
        <v>8204.6121794871669</v>
      </c>
      <c r="L50" s="177">
        <f t="shared" ca="1" si="4"/>
        <v>2289086.7980769286</v>
      </c>
      <c r="M50" s="11">
        <f t="shared" ca="1" si="5"/>
        <v>-2.3646862246096134E-11</v>
      </c>
      <c r="N50" s="12">
        <f ca="1">IF(Y50=0, 0, ROUND(SUM(Y$17:Y50)-SUM(J$17:J50),0))</f>
        <v>0</v>
      </c>
      <c r="O50" s="12" t="str">
        <f t="shared" ca="1" si="6"/>
        <v/>
      </c>
      <c r="P50" s="12">
        <f t="shared" ca="1" si="7"/>
        <v>2710000</v>
      </c>
      <c r="Q50" s="178">
        <f t="shared" ca="1" si="37"/>
        <v>5000000</v>
      </c>
      <c r="R50" s="178">
        <f t="shared" ca="1" si="37"/>
        <v>0</v>
      </c>
      <c r="S50" s="178">
        <f t="shared" ca="1" si="37"/>
        <v>358488</v>
      </c>
      <c r="T50" s="178">
        <f t="shared" ca="1" si="37"/>
        <v>628000</v>
      </c>
      <c r="U50" s="179" t="str">
        <f t="shared" ca="1" si="9"/>
        <v/>
      </c>
      <c r="V50" s="180">
        <f t="shared" ca="1" si="0"/>
        <v>4.22</v>
      </c>
      <c r="W50" s="181">
        <f t="shared" ca="1" si="28"/>
        <v>280</v>
      </c>
      <c r="X50" s="177">
        <f t="shared" ca="1" si="10"/>
        <v>18714.720381410258</v>
      </c>
      <c r="Y50" s="12">
        <f t="shared" ca="1" si="11"/>
        <v>10510.108201923078</v>
      </c>
      <c r="Z50" s="182">
        <f t="shared" ca="1" si="12"/>
        <v>2289086.798076923</v>
      </c>
      <c r="AA50" s="271">
        <f t="shared" ca="1" si="29"/>
        <v>0.22</v>
      </c>
      <c r="AB50" s="12">
        <f t="shared" ca="1" si="13"/>
        <v>16440.716576987186</v>
      </c>
      <c r="AC50" s="12">
        <f t="shared" ca="1" si="14"/>
        <v>16440.716576987179</v>
      </c>
      <c r="AD50" s="199"/>
      <c r="AE50" s="273">
        <f t="shared" ca="1" si="15"/>
        <v>1.6821425527395739E-3</v>
      </c>
      <c r="AF50" s="184">
        <f t="shared" ca="1" si="16"/>
        <v>0.94755159831851576</v>
      </c>
      <c r="AG50" s="12">
        <f t="shared" ca="1" si="17"/>
        <v>15578.427270025926</v>
      </c>
      <c r="AH50" s="12">
        <f t="shared" ca="1" si="18"/>
        <v>15578.427270025919</v>
      </c>
      <c r="AI50" s="185">
        <f t="shared" ca="1" si="19"/>
        <v>49</v>
      </c>
      <c r="AJ50" s="177">
        <f t="shared" ca="1" si="20"/>
        <v>49</v>
      </c>
      <c r="AK50" s="12">
        <f t="shared" ca="1" si="21"/>
        <v>-18763.720381410269</v>
      </c>
      <c r="AL50" s="185">
        <f t="shared" ca="1" si="30"/>
        <v>18714.720381410269</v>
      </c>
      <c r="AM50" s="177">
        <f t="shared" ca="1" si="31"/>
        <v>18752.256482131423</v>
      </c>
      <c r="AN50" s="177">
        <f t="shared" ca="1" si="32"/>
        <v>14568.478949545637</v>
      </c>
      <c r="AO50" s="196">
        <f t="shared" ca="1" si="33"/>
        <v>280</v>
      </c>
      <c r="AP50" s="196">
        <f t="shared" ca="1" si="34"/>
        <v>181</v>
      </c>
      <c r="AQ50" s="177">
        <f t="shared" ca="1" si="35"/>
        <v>0</v>
      </c>
      <c r="AR50" s="177">
        <f t="shared" ca="1" si="36"/>
        <v>37.536100721154071</v>
      </c>
      <c r="AS50" s="189"/>
      <c r="AT50" s="190" t="s">
        <v>128</v>
      </c>
      <c r="AU50" s="190" t="str">
        <f ca="1">"Kolonnenr i tabell for " &amp; SUBSTITUTE(ADDRESS(1, t2kTakst,4),"1","") &amp; " - """ &amp; INDIRECT(ADDRESS(t2rTLn1-2, t2kTakst)) &amp; """: t2kTakst"</f>
        <v>Kolonnenr i tabell for Q - "Takst": t2kTakst</v>
      </c>
    </row>
    <row r="51" spans="1:47" x14ac:dyDescent="0.6">
      <c r="A51" s="152" t="str">
        <f t="shared" ca="1" si="1"/>
        <v>Oktober 2027</v>
      </c>
      <c r="B51" s="191">
        <v>0</v>
      </c>
      <c r="C51" s="270">
        <f t="shared" ca="1" si="22"/>
        <v>5.4899999999999997E-2</v>
      </c>
      <c r="D51" s="192" t="str">
        <f t="shared" ca="1" si="23"/>
        <v/>
      </c>
      <c r="E51" s="193" t="str">
        <f t="shared" ca="1" si="24"/>
        <v/>
      </c>
      <c r="F51" s="194">
        <f t="shared" ca="1" si="25"/>
        <v>49</v>
      </c>
      <c r="G51" s="14">
        <v>34</v>
      </c>
      <c r="H51" s="157">
        <f t="shared" ca="1" si="26"/>
        <v>279</v>
      </c>
      <c r="I51" s="16">
        <f t="shared" ca="1" si="27"/>
        <v>18677.184280689115</v>
      </c>
      <c r="J51" s="16">
        <f t="shared" ca="1" si="2"/>
        <v>10472.572101201948</v>
      </c>
      <c r="K51" s="158">
        <f t="shared" ca="1" si="3"/>
        <v>8204.6121794871669</v>
      </c>
      <c r="L51" s="158">
        <f t="shared" ca="1" si="4"/>
        <v>2280882.1858974416</v>
      </c>
      <c r="M51" s="15">
        <f t="shared" ca="1" si="5"/>
        <v>-2.5465851649641991E-11</v>
      </c>
      <c r="N51" s="16">
        <f ca="1">IF(Y51=0, 0, ROUND(SUM(Y$17:Y51)-SUM(J$17:J51),0))</f>
        <v>0</v>
      </c>
      <c r="O51" s="16" t="str">
        <f t="shared" ca="1" si="6"/>
        <v/>
      </c>
      <c r="P51" s="16" t="str">
        <f t="shared" ca="1" si="7"/>
        <v/>
      </c>
      <c r="Q51" s="160">
        <f t="shared" ca="1" si="37"/>
        <v>5000000</v>
      </c>
      <c r="R51" s="160">
        <f t="shared" ca="1" si="37"/>
        <v>0</v>
      </c>
      <c r="S51" s="160">
        <f t="shared" ca="1" si="37"/>
        <v>358488</v>
      </c>
      <c r="T51" s="160">
        <f t="shared" ca="1" si="37"/>
        <v>628000</v>
      </c>
      <c r="U51" s="161" t="str">
        <f t="shared" ca="1" si="9"/>
        <v/>
      </c>
      <c r="V51" s="162">
        <f t="shared" ca="1" si="0"/>
        <v>4.21</v>
      </c>
      <c r="W51" s="195">
        <f t="shared" ca="1" si="28"/>
        <v>279</v>
      </c>
      <c r="X51" s="158">
        <f t="shared" ca="1" si="10"/>
        <v>18677.1842806891</v>
      </c>
      <c r="Y51" s="16">
        <f t="shared" ca="1" si="11"/>
        <v>10472.572101201922</v>
      </c>
      <c r="Z51" s="164">
        <f t="shared" ca="1" si="12"/>
        <v>2280882.185897436</v>
      </c>
      <c r="AA51" s="272">
        <f t="shared" ca="1" si="29"/>
        <v>0.22</v>
      </c>
      <c r="AB51" s="16">
        <f t="shared" ca="1" si="13"/>
        <v>16411.438418424688</v>
      </c>
      <c r="AC51" s="16">
        <f t="shared" ca="1" si="14"/>
        <v>16411.438418424677</v>
      </c>
      <c r="AD51" s="197"/>
      <c r="AE51" s="274">
        <f t="shared" ca="1" si="15"/>
        <v>1.6821425527395739E-3</v>
      </c>
      <c r="AF51" s="166">
        <f t="shared" ca="1" si="16"/>
        <v>0.94595768145406778</v>
      </c>
      <c r="AG51" s="16">
        <f t="shared" ca="1" si="17"/>
        <v>15524.526235619231</v>
      </c>
      <c r="AH51" s="16">
        <f t="shared" ca="1" si="18"/>
        <v>15524.526235619222</v>
      </c>
      <c r="AI51" s="168">
        <f t="shared" ca="1" si="19"/>
        <v>49</v>
      </c>
      <c r="AJ51" s="158">
        <f t="shared" ca="1" si="20"/>
        <v>49</v>
      </c>
      <c r="AK51" s="16">
        <f t="shared" ca="1" si="21"/>
        <v>-18726.184280689115</v>
      </c>
      <c r="AL51" s="168">
        <f t="shared" ca="1" si="30"/>
        <v>18677.184280689115</v>
      </c>
      <c r="AM51" s="158">
        <f t="shared" ca="1" si="31"/>
        <v>18714.720381410269</v>
      </c>
      <c r="AN51" s="158">
        <f t="shared" ca="1" si="32"/>
        <v>14542.138656178509</v>
      </c>
      <c r="AO51" s="169">
        <f t="shared" ca="1" si="33"/>
        <v>279</v>
      </c>
      <c r="AP51" s="169">
        <f t="shared" ca="1" si="34"/>
        <v>180</v>
      </c>
      <c r="AQ51" s="158">
        <f t="shared" ca="1" si="35"/>
        <v>0</v>
      </c>
      <c r="AR51" s="158">
        <f t="shared" ca="1" si="36"/>
        <v>37.536100721154071</v>
      </c>
      <c r="AS51" s="170"/>
      <c r="AT51" s="278" t="b">
        <f ca="1">YEAR(TODAY()) * 12 + MONTH(TODAY()) &gt; YEAR($E$5) * 12 + MONTH($E$5) - 1 + t2xAntAr * 12</f>
        <v>0</v>
      </c>
      <c r="AU51" s="159">
        <f>COLUMN($Q$16)</f>
        <v>17</v>
      </c>
    </row>
    <row r="52" spans="1:47" x14ac:dyDescent="0.6">
      <c r="A52" s="171" t="str">
        <f t="shared" ca="1" si="1"/>
        <v>November 2027</v>
      </c>
      <c r="B52" s="191">
        <v>0</v>
      </c>
      <c r="C52" s="269">
        <f t="shared" ca="1" si="22"/>
        <v>5.4899999999999997E-2</v>
      </c>
      <c r="D52" s="173" t="str">
        <f t="shared" ca="1" si="23"/>
        <v/>
      </c>
      <c r="E52" s="174" t="str">
        <f t="shared" ca="1" si="24"/>
        <v/>
      </c>
      <c r="F52" s="175">
        <f t="shared" ca="1" si="25"/>
        <v>49</v>
      </c>
      <c r="G52" s="10">
        <v>35</v>
      </c>
      <c r="H52" s="176">
        <f t="shared" ca="1" si="26"/>
        <v>278</v>
      </c>
      <c r="I52" s="12">
        <f t="shared" ca="1" si="27"/>
        <v>18639.64817996796</v>
      </c>
      <c r="J52" s="12">
        <f t="shared" ca="1" si="2"/>
        <v>10435.036000480795</v>
      </c>
      <c r="K52" s="177">
        <f t="shared" ca="1" si="3"/>
        <v>8204.6121794871651</v>
      </c>
      <c r="L52" s="177">
        <f t="shared" ca="1" si="4"/>
        <v>2272677.5737179546</v>
      </c>
      <c r="M52" s="11">
        <f t="shared" ca="1" si="5"/>
        <v>-2.7284841053187847E-11</v>
      </c>
      <c r="N52" s="12">
        <f ca="1">IF(Y52=0, 0, ROUND(SUM(Y$17:Y52)-SUM(J$17:J52),0))</f>
        <v>0</v>
      </c>
      <c r="O52" s="12" t="str">
        <f t="shared" ca="1" si="6"/>
        <v/>
      </c>
      <c r="P52" s="12">
        <f t="shared" ca="1" si="7"/>
        <v>2720000</v>
      </c>
      <c r="Q52" s="178">
        <f t="shared" ca="1" si="37"/>
        <v>5000000</v>
      </c>
      <c r="R52" s="178">
        <f t="shared" ca="1" si="37"/>
        <v>0</v>
      </c>
      <c r="S52" s="178">
        <f t="shared" ca="1" si="37"/>
        <v>358488</v>
      </c>
      <c r="T52" s="178">
        <f t="shared" ca="1" si="37"/>
        <v>628000</v>
      </c>
      <c r="U52" s="179" t="str">
        <f t="shared" ca="1" si="9"/>
        <v/>
      </c>
      <c r="V52" s="180">
        <f t="shared" ca="1" si="0"/>
        <v>4.1899999999999995</v>
      </c>
      <c r="W52" s="181">
        <f t="shared" ca="1" si="28"/>
        <v>278</v>
      </c>
      <c r="X52" s="177">
        <f t="shared" ca="1" si="10"/>
        <v>18639.648179967946</v>
      </c>
      <c r="Y52" s="12">
        <f t="shared" ca="1" si="11"/>
        <v>10435.036000480768</v>
      </c>
      <c r="Z52" s="182">
        <f t="shared" ca="1" si="12"/>
        <v>2272677.573717949</v>
      </c>
      <c r="AA52" s="271">
        <f t="shared" ca="1" si="29"/>
        <v>0.22</v>
      </c>
      <c r="AB52" s="12">
        <f t="shared" ca="1" si="13"/>
        <v>16382.160259862187</v>
      </c>
      <c r="AC52" s="12">
        <f t="shared" ca="1" si="14"/>
        <v>16382.160259862178</v>
      </c>
      <c r="AD52" s="199"/>
      <c r="AE52" s="273">
        <f t="shared" ca="1" si="15"/>
        <v>1.6821425527395739E-3</v>
      </c>
      <c r="AF52" s="184">
        <f t="shared" ca="1" si="16"/>
        <v>0.94436644578500306</v>
      </c>
      <c r="AG52" s="12">
        <f t="shared" ca="1" si="17"/>
        <v>15470.762458886375</v>
      </c>
      <c r="AH52" s="12">
        <f t="shared" ca="1" si="18"/>
        <v>15470.762458886367</v>
      </c>
      <c r="AI52" s="185">
        <f t="shared" ca="1" si="19"/>
        <v>49</v>
      </c>
      <c r="AJ52" s="177">
        <f t="shared" ca="1" si="20"/>
        <v>49</v>
      </c>
      <c r="AK52" s="12">
        <f t="shared" ca="1" si="21"/>
        <v>-18688.64817996796</v>
      </c>
      <c r="AL52" s="185">
        <f t="shared" ca="1" si="30"/>
        <v>18639.64817996796</v>
      </c>
      <c r="AM52" s="177">
        <f t="shared" ca="1" si="31"/>
        <v>18677.184280689115</v>
      </c>
      <c r="AN52" s="177">
        <f t="shared" ca="1" si="32"/>
        <v>14515.822702849264</v>
      </c>
      <c r="AO52" s="196">
        <f t="shared" ca="1" si="33"/>
        <v>278</v>
      </c>
      <c r="AP52" s="196">
        <f t="shared" ca="1" si="34"/>
        <v>180</v>
      </c>
      <c r="AQ52" s="177">
        <f t="shared" ca="1" si="35"/>
        <v>0</v>
      </c>
      <c r="AR52" s="177">
        <f t="shared" ca="1" si="36"/>
        <v>37.536100721154071</v>
      </c>
      <c r="AS52" s="189"/>
      <c r="AT52" s="190" t="str">
        <f>"Nåværende termin finnes i tabellens tidsrom: t2vDmErITbl"</f>
        <v>Nåværende termin finnes i tabellens tidsrom: t2vDmErITbl</v>
      </c>
      <c r="AU52" s="190" t="str">
        <f ca="1">"Kolonnenr i tabell for " &amp; SUBSTITUTE(ADDRESS(1, t2kFGj,4),"1","") &amp; " - """ &amp; INDIRECT(ADDRESS(t2rTLn1-2, t2kFGj)) &amp; """: t2kFGj"</f>
        <v>Kolonnenr i tabell for R - "Fellesgjeld": t2kFGj</v>
      </c>
    </row>
    <row r="53" spans="1:47" x14ac:dyDescent="0.6">
      <c r="A53" s="152" t="str">
        <f t="shared" ca="1" si="1"/>
        <v>Desember 2027</v>
      </c>
      <c r="B53" s="191">
        <v>0</v>
      </c>
      <c r="C53" s="270">
        <f t="shared" ca="1" si="22"/>
        <v>5.4899999999999997E-2</v>
      </c>
      <c r="D53" s="192" t="str">
        <f t="shared" ca="1" si="23"/>
        <v/>
      </c>
      <c r="E53" s="193" t="str">
        <f t="shared" ca="1" si="24"/>
        <v/>
      </c>
      <c r="F53" s="194">
        <f t="shared" ca="1" si="25"/>
        <v>49</v>
      </c>
      <c r="G53" s="14">
        <v>36</v>
      </c>
      <c r="H53" s="157">
        <f t="shared" ca="1" si="26"/>
        <v>277</v>
      </c>
      <c r="I53" s="16">
        <f t="shared" ca="1" si="27"/>
        <v>18602.112079246806</v>
      </c>
      <c r="J53" s="16">
        <f t="shared" ca="1" si="2"/>
        <v>10397.499899759641</v>
      </c>
      <c r="K53" s="158">
        <f t="shared" ca="1" si="3"/>
        <v>8204.6121794871651</v>
      </c>
      <c r="L53" s="158">
        <f t="shared" ca="1" si="4"/>
        <v>2264472.9615384676</v>
      </c>
      <c r="M53" s="15">
        <f t="shared" ca="1" si="5"/>
        <v>-2.5465851649641991E-11</v>
      </c>
      <c r="N53" s="16">
        <f ca="1">IF(Y53=0, 0, ROUND(SUM(Y$17:Y53)-SUM(J$17:J53),0))</f>
        <v>0</v>
      </c>
      <c r="O53" s="16" t="str">
        <f t="shared" ca="1" si="6"/>
        <v/>
      </c>
      <c r="P53" s="16">
        <f t="shared" ca="1" si="7"/>
        <v>2730000</v>
      </c>
      <c r="Q53" s="160">
        <f t="shared" ca="1" si="37"/>
        <v>5000000</v>
      </c>
      <c r="R53" s="160">
        <f t="shared" ca="1" si="37"/>
        <v>0</v>
      </c>
      <c r="S53" s="160">
        <f t="shared" ca="1" si="37"/>
        <v>358488</v>
      </c>
      <c r="T53" s="160">
        <f t="shared" ca="1" si="37"/>
        <v>628000</v>
      </c>
      <c r="U53" s="161" t="str">
        <f t="shared" ca="1" si="9"/>
        <v/>
      </c>
      <c r="V53" s="162">
        <f t="shared" ca="1" si="0"/>
        <v>4.18</v>
      </c>
      <c r="W53" s="195">
        <f t="shared" ca="1" si="28"/>
        <v>277</v>
      </c>
      <c r="X53" s="158">
        <f t="shared" ca="1" si="10"/>
        <v>18602.112079246795</v>
      </c>
      <c r="Y53" s="16">
        <f t="shared" ca="1" si="11"/>
        <v>10397.499899759616</v>
      </c>
      <c r="Z53" s="164">
        <f t="shared" ca="1" si="12"/>
        <v>2264472.9615384615</v>
      </c>
      <c r="AA53" s="272">
        <f t="shared" ca="1" si="29"/>
        <v>0.22</v>
      </c>
      <c r="AB53" s="16">
        <f t="shared" ca="1" si="13"/>
        <v>16352.882101299685</v>
      </c>
      <c r="AC53" s="16">
        <f t="shared" ca="1" si="14"/>
        <v>16352.882101299681</v>
      </c>
      <c r="AD53" s="197"/>
      <c r="AE53" s="274">
        <f t="shared" ca="1" si="15"/>
        <v>1.6821425527395739E-3</v>
      </c>
      <c r="AF53" s="166">
        <f t="shared" ca="1" si="16"/>
        <v>0.9427778868011687</v>
      </c>
      <c r="AG53" s="16">
        <f t="shared" ca="1" si="17"/>
        <v>15417.135630571973</v>
      </c>
      <c r="AH53" s="16">
        <f t="shared" ca="1" si="18"/>
        <v>15417.135630571969</v>
      </c>
      <c r="AI53" s="168">
        <f t="shared" ca="1" si="19"/>
        <v>49</v>
      </c>
      <c r="AJ53" s="158">
        <f t="shared" ca="1" si="20"/>
        <v>49</v>
      </c>
      <c r="AK53" s="16">
        <f t="shared" ca="1" si="21"/>
        <v>-18651.112079246806</v>
      </c>
      <c r="AL53" s="168">
        <f t="shared" ca="1" si="30"/>
        <v>18602.112079246806</v>
      </c>
      <c r="AM53" s="158">
        <f t="shared" ca="1" si="31"/>
        <v>18639.64817996796</v>
      </c>
      <c r="AN53" s="158">
        <f t="shared" ca="1" si="32"/>
        <v>14489.531116984765</v>
      </c>
      <c r="AO53" s="169">
        <f t="shared" ca="1" si="33"/>
        <v>277</v>
      </c>
      <c r="AP53" s="169">
        <f t="shared" ca="1" si="34"/>
        <v>179</v>
      </c>
      <c r="AQ53" s="158">
        <f t="shared" ca="1" si="35"/>
        <v>0</v>
      </c>
      <c r="AR53" s="158">
        <f t="shared" ca="1" si="36"/>
        <v>37.536100721154071</v>
      </c>
      <c r="AS53" s="170"/>
      <c r="AT53" s="202" t="b">
        <f ca="1">AND(NOT(t2vDmErPreTabell), NOT(t2vDmErPostTabell))</f>
        <v>1</v>
      </c>
      <c r="AU53" s="159">
        <f>COLUMN($R$16)</f>
        <v>18</v>
      </c>
    </row>
    <row r="54" spans="1:47" x14ac:dyDescent="0.6">
      <c r="A54" s="171" t="str">
        <f t="shared" ca="1" si="1"/>
        <v>Januar 2028</v>
      </c>
      <c r="B54" s="191">
        <v>0</v>
      </c>
      <c r="C54" s="269">
        <f t="shared" ca="1" si="22"/>
        <v>5.4899999999999997E-2</v>
      </c>
      <c r="D54" s="173" t="str">
        <f t="shared" ca="1" si="23"/>
        <v/>
      </c>
      <c r="E54" s="174" t="str">
        <f t="shared" ca="1" si="24"/>
        <v/>
      </c>
      <c r="F54" s="175">
        <f t="shared" ca="1" si="25"/>
        <v>49</v>
      </c>
      <c r="G54" s="10">
        <v>37</v>
      </c>
      <c r="H54" s="176">
        <f t="shared" ca="1" si="26"/>
        <v>276</v>
      </c>
      <c r="I54" s="12">
        <f t="shared" ca="1" si="27"/>
        <v>18564.575978525652</v>
      </c>
      <c r="J54" s="12">
        <f t="shared" ca="1" si="2"/>
        <v>10359.963799038489</v>
      </c>
      <c r="K54" s="177">
        <f t="shared" ca="1" si="3"/>
        <v>8204.6121794871633</v>
      </c>
      <c r="L54" s="177">
        <f t="shared" ca="1" si="4"/>
        <v>2256268.3493589805</v>
      </c>
      <c r="M54" s="11">
        <f t="shared" ca="1" si="5"/>
        <v>-2.9103830456733704E-11</v>
      </c>
      <c r="N54" s="12">
        <f ca="1">IF(Y54=0, 0, ROUND(SUM(Y$17:Y54)-SUM(J$17:J54),0))</f>
        <v>0</v>
      </c>
      <c r="O54" s="12" t="str">
        <f t="shared" ca="1" si="6"/>
        <v/>
      </c>
      <c r="P54" s="12">
        <f t="shared" ca="1" si="7"/>
        <v>2740000</v>
      </c>
      <c r="Q54" s="178">
        <f t="shared" ca="1" si="37"/>
        <v>5000000</v>
      </c>
      <c r="R54" s="178">
        <f t="shared" ca="1" si="37"/>
        <v>0</v>
      </c>
      <c r="S54" s="178">
        <f t="shared" ca="1" si="37"/>
        <v>358488</v>
      </c>
      <c r="T54" s="178">
        <f t="shared" ca="1" si="37"/>
        <v>628000</v>
      </c>
      <c r="U54" s="179" t="str">
        <f t="shared" ca="1" si="9"/>
        <v/>
      </c>
      <c r="V54" s="180">
        <f t="shared" ca="1" si="0"/>
        <v>4.17</v>
      </c>
      <c r="W54" s="181">
        <f t="shared" ca="1" si="28"/>
        <v>276</v>
      </c>
      <c r="X54" s="177">
        <f t="shared" ca="1" si="10"/>
        <v>18564.575978525638</v>
      </c>
      <c r="Y54" s="12">
        <f t="shared" ca="1" si="11"/>
        <v>10359.96379903846</v>
      </c>
      <c r="Z54" s="182">
        <f t="shared" ca="1" si="12"/>
        <v>2256268.3493589745</v>
      </c>
      <c r="AA54" s="271">
        <f t="shared" ca="1" si="29"/>
        <v>0.22</v>
      </c>
      <c r="AB54" s="12">
        <f t="shared" ca="1" si="13"/>
        <v>16323.603942737185</v>
      </c>
      <c r="AC54" s="12">
        <f t="shared" ca="1" si="14"/>
        <v>16323.603942737176</v>
      </c>
      <c r="AD54" s="199"/>
      <c r="AE54" s="273">
        <f t="shared" ca="1" si="15"/>
        <v>1.6821425527395739E-3</v>
      </c>
      <c r="AF54" s="184">
        <f t="shared" ca="1" si="16"/>
        <v>0.94119199999999859</v>
      </c>
      <c r="AG54" s="12">
        <f t="shared" ca="1" si="17"/>
        <v>15363.645442072673</v>
      </c>
      <c r="AH54" s="12">
        <f t="shared" ca="1" si="18"/>
        <v>15363.645442072666</v>
      </c>
      <c r="AI54" s="185">
        <f t="shared" ca="1" si="19"/>
        <v>49</v>
      </c>
      <c r="AJ54" s="177">
        <f t="shared" ca="1" si="20"/>
        <v>49</v>
      </c>
      <c r="AK54" s="12">
        <f t="shared" ca="1" si="21"/>
        <v>-18613.575978525652</v>
      </c>
      <c r="AL54" s="185">
        <f t="shared" ca="1" si="30"/>
        <v>18564.575978525652</v>
      </c>
      <c r="AM54" s="177">
        <f t="shared" ca="1" si="31"/>
        <v>18602.112079246806</v>
      </c>
      <c r="AN54" s="177">
        <f t="shared" ca="1" si="32"/>
        <v>14463.263925949896</v>
      </c>
      <c r="AO54" s="196">
        <f t="shared" ca="1" si="33"/>
        <v>276</v>
      </c>
      <c r="AP54" s="196">
        <f t="shared" ca="1" si="34"/>
        <v>179</v>
      </c>
      <c r="AQ54" s="177">
        <f t="shared" ca="1" si="35"/>
        <v>0</v>
      </c>
      <c r="AR54" s="177">
        <f t="shared" ca="1" si="36"/>
        <v>37.536100721154071</v>
      </c>
      <c r="AS54" s="189"/>
      <c r="AT54" s="190" t="str">
        <f>"Månedsnr for nåværende termin (eller default terminnr 1): t2vDtMnd"</f>
        <v>Månedsnr for nåværende termin (eller default terminnr 1): t2vDtMnd</v>
      </c>
      <c r="AU54" s="190" t="str">
        <f ca="1">"Kolonnenr i tabell for " &amp; SUBSTITUTE(ADDRESS(1, t2kAnnenGjeld,4),"1","") &amp; " - """ &amp; INDIRECT(ADDRESS(t2rTLn1-3, t2kAnnenGjeld)) &amp; """: t2kAnnenGjeld"</f>
        <v>Kolonnenr i tabell for S - "Annen gjeld for husstanden": t2kAnnenGjeld</v>
      </c>
    </row>
    <row r="55" spans="1:47" x14ac:dyDescent="0.6">
      <c r="A55" s="152" t="str">
        <f t="shared" ca="1" si="1"/>
        <v>Februar 2028</v>
      </c>
      <c r="B55" s="191">
        <v>0</v>
      </c>
      <c r="C55" s="270">
        <f t="shared" ca="1" si="22"/>
        <v>5.4899999999999997E-2</v>
      </c>
      <c r="D55" s="192" t="str">
        <f t="shared" ca="1" si="23"/>
        <v/>
      </c>
      <c r="E55" s="193" t="str">
        <f t="shared" ca="1" si="24"/>
        <v/>
      </c>
      <c r="F55" s="194">
        <f t="shared" ca="1" si="25"/>
        <v>49</v>
      </c>
      <c r="G55" s="14">
        <v>38</v>
      </c>
      <c r="H55" s="157">
        <f t="shared" ca="1" si="26"/>
        <v>275</v>
      </c>
      <c r="I55" s="16">
        <f t="shared" ca="1" si="27"/>
        <v>18527.039877804498</v>
      </c>
      <c r="J55" s="16">
        <f t="shared" ca="1" si="2"/>
        <v>10322.427698317335</v>
      </c>
      <c r="K55" s="158">
        <f t="shared" ca="1" si="3"/>
        <v>8204.6121794871633</v>
      </c>
      <c r="L55" s="158">
        <f t="shared" ca="1" si="4"/>
        <v>2248063.7371794935</v>
      </c>
      <c r="M55" s="15">
        <f t="shared" ca="1" si="5"/>
        <v>-2.7284841053187847E-11</v>
      </c>
      <c r="N55" s="16">
        <f ca="1">IF(Y55=0, 0, ROUND(SUM(Y$17:Y55)-SUM(J$17:J55),0))</f>
        <v>0</v>
      </c>
      <c r="O55" s="16" t="str">
        <f t="shared" ca="1" si="6"/>
        <v/>
      </c>
      <c r="P55" s="16">
        <f t="shared" ca="1" si="7"/>
        <v>2750000</v>
      </c>
      <c r="Q55" s="160">
        <f t="shared" ca="1" si="37"/>
        <v>5000000</v>
      </c>
      <c r="R55" s="160">
        <f t="shared" ca="1" si="37"/>
        <v>0</v>
      </c>
      <c r="S55" s="160">
        <f t="shared" ca="1" si="37"/>
        <v>358488</v>
      </c>
      <c r="T55" s="160">
        <f t="shared" ca="1" si="37"/>
        <v>628000</v>
      </c>
      <c r="U55" s="161" t="str">
        <f t="shared" ca="1" si="9"/>
        <v/>
      </c>
      <c r="V55" s="162">
        <f t="shared" ca="1" si="0"/>
        <v>4.16</v>
      </c>
      <c r="W55" s="195">
        <f t="shared" ca="1" si="28"/>
        <v>275</v>
      </c>
      <c r="X55" s="158">
        <f t="shared" ca="1" si="10"/>
        <v>18527.039877804487</v>
      </c>
      <c r="Y55" s="16">
        <f t="shared" ca="1" si="11"/>
        <v>10322.427698317308</v>
      </c>
      <c r="Z55" s="164">
        <f t="shared" ca="1" si="12"/>
        <v>2248063.7371794875</v>
      </c>
      <c r="AA55" s="272">
        <f t="shared" ca="1" si="29"/>
        <v>0.22</v>
      </c>
      <c r="AB55" s="16">
        <f t="shared" ca="1" si="13"/>
        <v>16294.325784174685</v>
      </c>
      <c r="AC55" s="16">
        <f t="shared" ca="1" si="14"/>
        <v>16294.32578417468</v>
      </c>
      <c r="AD55" s="197"/>
      <c r="AE55" s="274">
        <f t="shared" ca="1" si="15"/>
        <v>1.6821425527395739E-3</v>
      </c>
      <c r="AF55" s="166">
        <f t="shared" ca="1" si="16"/>
        <v>0.93960878088650057</v>
      </c>
      <c r="AG55" s="16">
        <f t="shared" ca="1" si="17"/>
        <v>15310.291585435849</v>
      </c>
      <c r="AH55" s="16">
        <f t="shared" ca="1" si="18"/>
        <v>15310.291585435843</v>
      </c>
      <c r="AI55" s="168">
        <f t="shared" ca="1" si="19"/>
        <v>49</v>
      </c>
      <c r="AJ55" s="158">
        <f t="shared" ca="1" si="20"/>
        <v>49</v>
      </c>
      <c r="AK55" s="16">
        <f t="shared" ca="1" si="21"/>
        <v>-18576.039877804498</v>
      </c>
      <c r="AL55" s="168">
        <f t="shared" ca="1" si="30"/>
        <v>18527.039877804498</v>
      </c>
      <c r="AM55" s="158">
        <f t="shared" ca="1" si="31"/>
        <v>18564.575978525652</v>
      </c>
      <c r="AN55" s="158">
        <f t="shared" ca="1" si="32"/>
        <v>14437.021157047202</v>
      </c>
      <c r="AO55" s="169">
        <f t="shared" ca="1" si="33"/>
        <v>275</v>
      </c>
      <c r="AP55" s="169">
        <f t="shared" ca="1" si="34"/>
        <v>178</v>
      </c>
      <c r="AQ55" s="158">
        <f t="shared" ca="1" si="35"/>
        <v>0</v>
      </c>
      <c r="AR55" s="158">
        <f t="shared" ca="1" si="36"/>
        <v>37.536100721154071</v>
      </c>
      <c r="AS55" s="170"/>
      <c r="AT55" s="159">
        <f ca="1">IF(t2vDmErITbl, MONTH(TODAY()), (t2vTNkl1 - 1 + $R$9)-INT((t2vTNkl1 - 2 + $R$9)/12)*12)</f>
        <v>1</v>
      </c>
      <c r="AU55" s="159">
        <f>COLUMN($S$16)</f>
        <v>19</v>
      </c>
    </row>
    <row r="56" spans="1:47" x14ac:dyDescent="0.6">
      <c r="A56" s="171" t="str">
        <f t="shared" ca="1" si="1"/>
        <v>Mars 2028</v>
      </c>
      <c r="B56" s="191">
        <v>0</v>
      </c>
      <c r="C56" s="269">
        <f t="shared" ca="1" si="22"/>
        <v>5.4899999999999997E-2</v>
      </c>
      <c r="D56" s="173" t="str">
        <f t="shared" ca="1" si="23"/>
        <v/>
      </c>
      <c r="E56" s="174" t="str">
        <f t="shared" ca="1" si="24"/>
        <v/>
      </c>
      <c r="F56" s="175">
        <f t="shared" ca="1" si="25"/>
        <v>49</v>
      </c>
      <c r="G56" s="10">
        <v>39</v>
      </c>
      <c r="H56" s="176">
        <f t="shared" ca="1" si="26"/>
        <v>274</v>
      </c>
      <c r="I56" s="12">
        <f t="shared" ca="1" si="27"/>
        <v>18489.503777083344</v>
      </c>
      <c r="J56" s="12">
        <f t="shared" ca="1" si="2"/>
        <v>10284.891597596183</v>
      </c>
      <c r="K56" s="177">
        <f t="shared" ca="1" si="3"/>
        <v>8204.6121794871615</v>
      </c>
      <c r="L56" s="177">
        <f t="shared" ca="1" si="4"/>
        <v>2239859.1250000065</v>
      </c>
      <c r="M56" s="11">
        <f t="shared" ca="1" si="5"/>
        <v>-2.7284841053187847E-11</v>
      </c>
      <c r="N56" s="12">
        <f ca="1">IF(Y56=0, 0, ROUND(SUM(Y$17:Y56)-SUM(J$17:J56),0))</f>
        <v>0</v>
      </c>
      <c r="O56" s="12" t="str">
        <f t="shared" ca="1" si="6"/>
        <v/>
      </c>
      <c r="P56" s="12">
        <f t="shared" ca="1" si="7"/>
        <v>2760000</v>
      </c>
      <c r="Q56" s="178">
        <f t="shared" ca="1" si="37"/>
        <v>5000000</v>
      </c>
      <c r="R56" s="178">
        <f t="shared" ca="1" si="37"/>
        <v>0</v>
      </c>
      <c r="S56" s="178">
        <f t="shared" ca="1" si="37"/>
        <v>358488</v>
      </c>
      <c r="T56" s="178">
        <f t="shared" ca="1" si="37"/>
        <v>628000</v>
      </c>
      <c r="U56" s="179" t="str">
        <f t="shared" ca="1" si="9"/>
        <v/>
      </c>
      <c r="V56" s="180">
        <f t="shared" ca="1" si="0"/>
        <v>4.1399999999999997</v>
      </c>
      <c r="W56" s="181">
        <f t="shared" ca="1" si="28"/>
        <v>274</v>
      </c>
      <c r="X56" s="177">
        <f t="shared" ca="1" si="10"/>
        <v>18489.503777083337</v>
      </c>
      <c r="Y56" s="12">
        <f t="shared" ca="1" si="11"/>
        <v>10284.891597596155</v>
      </c>
      <c r="Z56" s="182">
        <f t="shared" ca="1" si="12"/>
        <v>2239859.125</v>
      </c>
      <c r="AA56" s="271">
        <f t="shared" ca="1" si="29"/>
        <v>0.22</v>
      </c>
      <c r="AB56" s="12">
        <f t="shared" ca="1" si="13"/>
        <v>16265.047625612184</v>
      </c>
      <c r="AC56" s="12">
        <f t="shared" ca="1" si="14"/>
        <v>16265.047625612184</v>
      </c>
      <c r="AD56" s="199"/>
      <c r="AE56" s="273">
        <f t="shared" ca="1" si="15"/>
        <v>1.6821425527395739E-3</v>
      </c>
      <c r="AF56" s="184">
        <f t="shared" ca="1" si="16"/>
        <v>0.93802822497324367</v>
      </c>
      <c r="AG56" s="12">
        <f t="shared" ca="1" si="17"/>
        <v>15257.073753358269</v>
      </c>
      <c r="AH56" s="12">
        <f t="shared" ca="1" si="18"/>
        <v>15257.073753358269</v>
      </c>
      <c r="AI56" s="185">
        <f t="shared" ca="1" si="19"/>
        <v>49</v>
      </c>
      <c r="AJ56" s="177">
        <f t="shared" ca="1" si="20"/>
        <v>49</v>
      </c>
      <c r="AK56" s="12">
        <f t="shared" ca="1" si="21"/>
        <v>-18538.503777083344</v>
      </c>
      <c r="AL56" s="185">
        <f t="shared" ca="1" si="30"/>
        <v>18489.503777083344</v>
      </c>
      <c r="AM56" s="177">
        <f t="shared" ca="1" si="31"/>
        <v>18527.039877804498</v>
      </c>
      <c r="AN56" s="177">
        <f t="shared" ca="1" si="32"/>
        <v>14410.802837516578</v>
      </c>
      <c r="AO56" s="196">
        <f t="shared" ca="1" si="33"/>
        <v>274</v>
      </c>
      <c r="AP56" s="196">
        <f t="shared" ca="1" si="34"/>
        <v>178</v>
      </c>
      <c r="AQ56" s="177">
        <f t="shared" ca="1" si="35"/>
        <v>0</v>
      </c>
      <c r="AR56" s="177">
        <f t="shared" ca="1" si="36"/>
        <v>37.536100721154071</v>
      </c>
      <c r="AS56" s="189"/>
      <c r="AT56" s="190" t="str">
        <f>"Årstallet for nåværende termin (eller default terminnr 1): t2vDtAr"</f>
        <v>Årstallet for nåværende termin (eller default terminnr 1): t2vDtAr</v>
      </c>
      <c r="AU56" s="190" t="str">
        <f ca="1">"Kolonnenr i tabell for " &amp; SUBSTITUTE(ADDRESS(1, t2kInntekt,4),"1","") &amp; " - """ &amp; INDIRECT(ADDRESS(t2rTLn1-3, t2kInntekt)) &amp; """: t2kInntekt"</f>
        <v>Kolonnenr i tabell for T - "Husstandens samlede inntekt pr år": t2kInntekt</v>
      </c>
    </row>
    <row r="57" spans="1:47" x14ac:dyDescent="0.6">
      <c r="A57" s="152" t="str">
        <f t="shared" ca="1" si="1"/>
        <v>April 2028</v>
      </c>
      <c r="B57" s="191">
        <v>0</v>
      </c>
      <c r="C57" s="270">
        <f t="shared" ca="1" si="22"/>
        <v>5.4899999999999997E-2</v>
      </c>
      <c r="D57" s="192" t="str">
        <f t="shared" ca="1" si="23"/>
        <v/>
      </c>
      <c r="E57" s="193" t="str">
        <f t="shared" ca="1" si="24"/>
        <v/>
      </c>
      <c r="F57" s="194">
        <f t="shared" ca="1" si="25"/>
        <v>49</v>
      </c>
      <c r="G57" s="14">
        <v>40</v>
      </c>
      <c r="H57" s="157">
        <f t="shared" ca="1" si="26"/>
        <v>273</v>
      </c>
      <c r="I57" s="16">
        <f t="shared" ca="1" si="27"/>
        <v>18451.96767636219</v>
      </c>
      <c r="J57" s="16">
        <f t="shared" ca="1" si="2"/>
        <v>10247.35549687503</v>
      </c>
      <c r="K57" s="158">
        <f t="shared" ca="1" si="3"/>
        <v>8204.6121794871597</v>
      </c>
      <c r="L57" s="158">
        <f t="shared" ca="1" si="4"/>
        <v>2231654.5128205195</v>
      </c>
      <c r="M57" s="15">
        <f t="shared" ca="1" si="5"/>
        <v>-3.092281986027956E-11</v>
      </c>
      <c r="N57" s="16">
        <f ca="1">IF(Y57=0, 0, ROUND(SUM(Y$17:Y57)-SUM(J$17:J57),0))</f>
        <v>0</v>
      </c>
      <c r="O57" s="16" t="str">
        <f t="shared" ca="1" si="6"/>
        <v/>
      </c>
      <c r="P57" s="16" t="str">
        <f t="shared" ca="1" si="7"/>
        <v/>
      </c>
      <c r="Q57" s="160">
        <f t="shared" ca="1" si="37"/>
        <v>5000000</v>
      </c>
      <c r="R57" s="160">
        <f t="shared" ca="1" si="37"/>
        <v>0</v>
      </c>
      <c r="S57" s="160">
        <f t="shared" ca="1" si="37"/>
        <v>358488</v>
      </c>
      <c r="T57" s="160">
        <f t="shared" ca="1" si="37"/>
        <v>628000</v>
      </c>
      <c r="U57" s="161" t="str">
        <f t="shared" ca="1" si="9"/>
        <v/>
      </c>
      <c r="V57" s="162">
        <f t="shared" ca="1" si="0"/>
        <v>4.13</v>
      </c>
      <c r="W57" s="195">
        <f t="shared" ca="1" si="28"/>
        <v>273</v>
      </c>
      <c r="X57" s="158">
        <f t="shared" ca="1" si="10"/>
        <v>18451.967676362179</v>
      </c>
      <c r="Y57" s="16">
        <f t="shared" ca="1" si="11"/>
        <v>10247.355496875</v>
      </c>
      <c r="Z57" s="164">
        <f t="shared" ca="1" si="12"/>
        <v>2231654.512820513</v>
      </c>
      <c r="AA57" s="272">
        <f t="shared" ca="1" si="29"/>
        <v>0.22</v>
      </c>
      <c r="AB57" s="16">
        <f t="shared" ca="1" si="13"/>
        <v>16235.769467049684</v>
      </c>
      <c r="AC57" s="16">
        <f t="shared" ca="1" si="14"/>
        <v>16235.769467049678</v>
      </c>
      <c r="AD57" s="197"/>
      <c r="AE57" s="274">
        <f t="shared" ca="1" si="15"/>
        <v>1.6821425527395739E-3</v>
      </c>
      <c r="AF57" s="166">
        <f t="shared" ca="1" si="16"/>
        <v>0.93645032778034543</v>
      </c>
      <c r="AG57" s="16">
        <f t="shared" ca="1" si="17"/>
        <v>15203.9916391848</v>
      </c>
      <c r="AH57" s="16">
        <f t="shared" ca="1" si="18"/>
        <v>15203.991639184796</v>
      </c>
      <c r="AI57" s="168">
        <f t="shared" ca="1" si="19"/>
        <v>49</v>
      </c>
      <c r="AJ57" s="158">
        <f t="shared" ca="1" si="20"/>
        <v>49</v>
      </c>
      <c r="AK57" s="16">
        <f t="shared" ca="1" si="21"/>
        <v>-18500.96767636219</v>
      </c>
      <c r="AL57" s="168">
        <f t="shared" ca="1" si="30"/>
        <v>18451.96767636219</v>
      </c>
      <c r="AM57" s="158">
        <f t="shared" ca="1" si="31"/>
        <v>18489.503777083344</v>
      </c>
      <c r="AN57" s="158">
        <f t="shared" ca="1" si="32"/>
        <v>14384.608994534907</v>
      </c>
      <c r="AO57" s="169">
        <f t="shared" ca="1" si="33"/>
        <v>273</v>
      </c>
      <c r="AP57" s="169">
        <f t="shared" ca="1" si="34"/>
        <v>178</v>
      </c>
      <c r="AQ57" s="158">
        <f t="shared" ca="1" si="35"/>
        <v>0</v>
      </c>
      <c r="AR57" s="158">
        <f t="shared" ca="1" si="36"/>
        <v>37.536100721154071</v>
      </c>
      <c r="AS57" s="170"/>
      <c r="AT57" s="159">
        <f ca="1">IF(t2vDmErITbl, YEAR(TODAY()), INT((t2vTNkl1-2+$R$9)/12))</f>
        <v>2025</v>
      </c>
      <c r="AU57" s="159">
        <f>COLUMN($T$16)</f>
        <v>20</v>
      </c>
    </row>
    <row r="58" spans="1:47" x14ac:dyDescent="0.6">
      <c r="A58" s="171" t="str">
        <f t="shared" ca="1" si="1"/>
        <v>Mai 2028</v>
      </c>
      <c r="B58" s="191">
        <v>0</v>
      </c>
      <c r="C58" s="269">
        <f t="shared" ca="1" si="22"/>
        <v>5.4899999999999997E-2</v>
      </c>
      <c r="D58" s="173" t="str">
        <f t="shared" ca="1" si="23"/>
        <v/>
      </c>
      <c r="E58" s="174" t="str">
        <f t="shared" ca="1" si="24"/>
        <v/>
      </c>
      <c r="F58" s="175">
        <f t="shared" ca="1" si="25"/>
        <v>49</v>
      </c>
      <c r="G58" s="10">
        <v>41</v>
      </c>
      <c r="H58" s="176">
        <f t="shared" ca="1" si="26"/>
        <v>272</v>
      </c>
      <c r="I58" s="12">
        <f t="shared" ca="1" si="27"/>
        <v>18414.431575641036</v>
      </c>
      <c r="J58" s="12">
        <f t="shared" ca="1" si="2"/>
        <v>10209.819396153876</v>
      </c>
      <c r="K58" s="177">
        <f t="shared" ca="1" si="3"/>
        <v>8204.6121794871597</v>
      </c>
      <c r="L58" s="177">
        <f t="shared" ca="1" si="4"/>
        <v>2223449.9006410325</v>
      </c>
      <c r="M58" s="11">
        <f t="shared" ca="1" si="5"/>
        <v>-2.9103830456733704E-11</v>
      </c>
      <c r="N58" s="12">
        <f ca="1">IF(Y58=0, 0, ROUND(SUM(Y$17:Y58)-SUM(J$17:J58),0))</f>
        <v>0</v>
      </c>
      <c r="O58" s="12" t="str">
        <f t="shared" ca="1" si="6"/>
        <v/>
      </c>
      <c r="P58" s="12">
        <f t="shared" ca="1" si="7"/>
        <v>2770000</v>
      </c>
      <c r="Q58" s="178">
        <f t="shared" ref="Q58:T77" ca="1" si="38">OFFSET(Q58,-1,0,1,1)</f>
        <v>5000000</v>
      </c>
      <c r="R58" s="178">
        <f t="shared" ca="1" si="38"/>
        <v>0</v>
      </c>
      <c r="S58" s="178">
        <f t="shared" ca="1" si="38"/>
        <v>358488</v>
      </c>
      <c r="T58" s="178">
        <f t="shared" ca="1" si="38"/>
        <v>628000</v>
      </c>
      <c r="U58" s="179" t="str">
        <f t="shared" ca="1" si="9"/>
        <v/>
      </c>
      <c r="V58" s="180">
        <f t="shared" ca="1" si="0"/>
        <v>4.12</v>
      </c>
      <c r="W58" s="181">
        <f t="shared" ca="1" si="28"/>
        <v>272</v>
      </c>
      <c r="X58" s="177">
        <f t="shared" ca="1" si="10"/>
        <v>18414.431575641029</v>
      </c>
      <c r="Y58" s="12">
        <f t="shared" ca="1" si="11"/>
        <v>10209.819396153847</v>
      </c>
      <c r="Z58" s="182">
        <f t="shared" ca="1" si="12"/>
        <v>2223449.900641026</v>
      </c>
      <c r="AA58" s="271">
        <f t="shared" ca="1" si="29"/>
        <v>0.22</v>
      </c>
      <c r="AB58" s="12">
        <f t="shared" ca="1" si="13"/>
        <v>16206.491308487184</v>
      </c>
      <c r="AC58" s="12">
        <f t="shared" ca="1" si="14"/>
        <v>16206.491308487182</v>
      </c>
      <c r="AD58" s="199"/>
      <c r="AE58" s="273">
        <f t="shared" ca="1" si="15"/>
        <v>1.6821425527395739E-3</v>
      </c>
      <c r="AF58" s="184">
        <f t="shared" ca="1" si="16"/>
        <v>0.93487508483545922</v>
      </c>
      <c r="AG58" s="12">
        <f t="shared" ca="1" si="17"/>
        <v>15151.044936907088</v>
      </c>
      <c r="AH58" s="12">
        <f t="shared" ca="1" si="18"/>
        <v>15151.044936907087</v>
      </c>
      <c r="AI58" s="185">
        <f t="shared" ca="1" si="19"/>
        <v>49</v>
      </c>
      <c r="AJ58" s="177">
        <f t="shared" ca="1" si="20"/>
        <v>49</v>
      </c>
      <c r="AK58" s="12">
        <f t="shared" ca="1" si="21"/>
        <v>-18463.431575641036</v>
      </c>
      <c r="AL58" s="185">
        <f t="shared" ca="1" si="30"/>
        <v>18414.431575641036</v>
      </c>
      <c r="AM58" s="177">
        <f t="shared" ca="1" si="31"/>
        <v>18451.96767636219</v>
      </c>
      <c r="AN58" s="177">
        <f t="shared" ca="1" si="32"/>
        <v>14358.43965521575</v>
      </c>
      <c r="AO58" s="196">
        <f t="shared" ca="1" si="33"/>
        <v>272</v>
      </c>
      <c r="AP58" s="196">
        <f t="shared" ca="1" si="34"/>
        <v>177</v>
      </c>
      <c r="AQ58" s="177">
        <f t="shared" ca="1" si="35"/>
        <v>0</v>
      </c>
      <c r="AR58" s="177">
        <f t="shared" ca="1" si="36"/>
        <v>37.536100721154071</v>
      </c>
      <c r="AS58" s="189"/>
      <c r="AT58" s="190" t="str">
        <f>"Linjenr i tabellen for den første januarmåneden: t2vJan1Ln"</f>
        <v>Linjenr i tabellen for den første januarmåneden: t2vJan1Ln</v>
      </c>
      <c r="AU58" s="190" t="str">
        <f ca="1">"Kolonnenr i tabell for " &amp; SUBSTITUTE(ADDRESS(1, t2kRadnrGjeldsgradTreff, 4), "1", "") &amp; " - """ &amp; INDIRECT(ADDRESS(t2rTLn1-3, t2kRadnrGjeldsgradTreff)) &amp; """: t2kRadnrGjeldsgradTreff"</f>
        <v>Kolonnenr i tabell for U - "Radnr der gjeldsgrad-målet nås": t2kRadnrGjeldsgradTreff</v>
      </c>
    </row>
    <row r="59" spans="1:47" x14ac:dyDescent="0.6">
      <c r="A59" s="152" t="str">
        <f t="shared" ca="1" si="1"/>
        <v>Juni 2028</v>
      </c>
      <c r="B59" s="191">
        <v>0</v>
      </c>
      <c r="C59" s="270">
        <f t="shared" ca="1" si="22"/>
        <v>5.4899999999999997E-2</v>
      </c>
      <c r="D59" s="192" t="str">
        <f t="shared" ca="1" si="23"/>
        <v/>
      </c>
      <c r="E59" s="193" t="str">
        <f t="shared" ca="1" si="24"/>
        <v/>
      </c>
      <c r="F59" s="194">
        <f t="shared" ca="1" si="25"/>
        <v>49</v>
      </c>
      <c r="G59" s="14">
        <v>42</v>
      </c>
      <c r="H59" s="157">
        <f t="shared" ca="1" si="26"/>
        <v>271</v>
      </c>
      <c r="I59" s="16">
        <f t="shared" ca="1" si="27"/>
        <v>18376.895474919882</v>
      </c>
      <c r="J59" s="16">
        <f t="shared" ca="1" si="2"/>
        <v>10172.283295432722</v>
      </c>
      <c r="K59" s="158">
        <f t="shared" ca="1" si="3"/>
        <v>8204.6121794871597</v>
      </c>
      <c r="L59" s="158">
        <f t="shared" ca="1" si="4"/>
        <v>2215245.2884615455</v>
      </c>
      <c r="M59" s="15">
        <f t="shared" ca="1" si="5"/>
        <v>-2.9103830456733704E-11</v>
      </c>
      <c r="N59" s="16">
        <f ca="1">IF(Y59=0, 0, ROUND(SUM(Y$17:Y59)-SUM(J$17:J59),0))</f>
        <v>0</v>
      </c>
      <c r="O59" s="16" t="str">
        <f t="shared" ca="1" si="6"/>
        <v/>
      </c>
      <c r="P59" s="16">
        <f t="shared" ca="1" si="7"/>
        <v>2780000</v>
      </c>
      <c r="Q59" s="160">
        <f t="shared" ca="1" si="38"/>
        <v>5000000</v>
      </c>
      <c r="R59" s="160">
        <f t="shared" ca="1" si="38"/>
        <v>0</v>
      </c>
      <c r="S59" s="160">
        <f t="shared" ca="1" si="38"/>
        <v>358488</v>
      </c>
      <c r="T59" s="160">
        <f t="shared" ca="1" si="38"/>
        <v>628000</v>
      </c>
      <c r="U59" s="161" t="str">
        <f t="shared" ca="1" si="9"/>
        <v/>
      </c>
      <c r="V59" s="162">
        <f t="shared" ca="1" si="0"/>
        <v>4.0999999999999996</v>
      </c>
      <c r="W59" s="195">
        <f t="shared" ca="1" si="28"/>
        <v>271</v>
      </c>
      <c r="X59" s="158">
        <f t="shared" ca="1" si="10"/>
        <v>18376.895474919875</v>
      </c>
      <c r="Y59" s="16">
        <f t="shared" ca="1" si="11"/>
        <v>10172.283295432693</v>
      </c>
      <c r="Z59" s="164">
        <f t="shared" ca="1" si="12"/>
        <v>2215245.2884615385</v>
      </c>
      <c r="AA59" s="272">
        <f t="shared" ca="1" si="29"/>
        <v>0.22</v>
      </c>
      <c r="AB59" s="16">
        <f t="shared" ca="1" si="13"/>
        <v>16177.213149924683</v>
      </c>
      <c r="AC59" s="16">
        <f t="shared" ca="1" si="14"/>
        <v>16177.213149924683</v>
      </c>
      <c r="AD59" s="197"/>
      <c r="AE59" s="274">
        <f t="shared" ca="1" si="15"/>
        <v>1.6821425527395739E-3</v>
      </c>
      <c r="AF59" s="166">
        <f t="shared" ca="1" si="16"/>
        <v>0.93330249167376145</v>
      </c>
      <c r="AG59" s="16">
        <f t="shared" ca="1" si="17"/>
        <v>15098.233341162246</v>
      </c>
      <c r="AH59" s="16">
        <f t="shared" ca="1" si="18"/>
        <v>15098.233341162246</v>
      </c>
      <c r="AI59" s="168">
        <f t="shared" ca="1" si="19"/>
        <v>49</v>
      </c>
      <c r="AJ59" s="158">
        <f t="shared" ca="1" si="20"/>
        <v>49</v>
      </c>
      <c r="AK59" s="16">
        <f t="shared" ca="1" si="21"/>
        <v>-18425.895474919882</v>
      </c>
      <c r="AL59" s="168">
        <f t="shared" ca="1" si="30"/>
        <v>18376.895474919882</v>
      </c>
      <c r="AM59" s="158">
        <f t="shared" ca="1" si="31"/>
        <v>18414.431575641036</v>
      </c>
      <c r="AN59" s="158">
        <f t="shared" ca="1" si="32"/>
        <v>14332.294846608984</v>
      </c>
      <c r="AO59" s="169">
        <f t="shared" ca="1" si="33"/>
        <v>271</v>
      </c>
      <c r="AP59" s="169">
        <f t="shared" ca="1" si="34"/>
        <v>177</v>
      </c>
      <c r="AQ59" s="158">
        <f t="shared" ca="1" si="35"/>
        <v>0</v>
      </c>
      <c r="AR59" s="158">
        <f t="shared" ca="1" si="36"/>
        <v>37.536100721154071</v>
      </c>
      <c r="AS59" s="170"/>
      <c r="AT59" s="159">
        <f ca="1">t2rTLn1+IF(t2vAntTAr1=12, 0, t2vAntTAr1)</f>
        <v>18</v>
      </c>
      <c r="AU59" s="159">
        <f>COLUMN($U$16)</f>
        <v>21</v>
      </c>
    </row>
    <row r="60" spans="1:47" x14ac:dyDescent="0.6">
      <c r="A60" s="171" t="str">
        <f t="shared" ca="1" si="1"/>
        <v>Juli 2028</v>
      </c>
      <c r="B60" s="191">
        <v>0</v>
      </c>
      <c r="C60" s="269">
        <f t="shared" ca="1" si="22"/>
        <v>5.4899999999999997E-2</v>
      </c>
      <c r="D60" s="173" t="str">
        <f t="shared" ca="1" si="23"/>
        <v/>
      </c>
      <c r="E60" s="174" t="str">
        <f t="shared" ca="1" si="24"/>
        <v/>
      </c>
      <c r="F60" s="175">
        <f t="shared" ca="1" si="25"/>
        <v>49</v>
      </c>
      <c r="G60" s="10">
        <v>43</v>
      </c>
      <c r="H60" s="176">
        <f t="shared" ca="1" si="26"/>
        <v>270</v>
      </c>
      <c r="I60" s="12">
        <f t="shared" ca="1" si="27"/>
        <v>18339.359374198728</v>
      </c>
      <c r="J60" s="12">
        <f t="shared" ca="1" si="2"/>
        <v>10134.74719471157</v>
      </c>
      <c r="K60" s="177">
        <f t="shared" ca="1" si="3"/>
        <v>8204.6121794871578</v>
      </c>
      <c r="L60" s="177">
        <f t="shared" ca="1" si="4"/>
        <v>2207040.6762820585</v>
      </c>
      <c r="M60" s="11">
        <f t="shared" ca="1" si="5"/>
        <v>-3.092281986027956E-11</v>
      </c>
      <c r="N60" s="12">
        <f ca="1">IF(Y60=0, 0, ROUND(SUM(Y$17:Y60)-SUM(J$17:J60),0))</f>
        <v>0</v>
      </c>
      <c r="O60" s="12" t="str">
        <f t="shared" ca="1" si="6"/>
        <v/>
      </c>
      <c r="P60" s="12">
        <f t="shared" ca="1" si="7"/>
        <v>2790000</v>
      </c>
      <c r="Q60" s="178">
        <f t="shared" ca="1" si="38"/>
        <v>5000000</v>
      </c>
      <c r="R60" s="178">
        <f t="shared" ca="1" si="38"/>
        <v>0</v>
      </c>
      <c r="S60" s="178">
        <f t="shared" ca="1" si="38"/>
        <v>358488</v>
      </c>
      <c r="T60" s="178">
        <f t="shared" ca="1" si="38"/>
        <v>628000</v>
      </c>
      <c r="U60" s="179" t="str">
        <f t="shared" ca="1" si="9"/>
        <v/>
      </c>
      <c r="V60" s="180">
        <f t="shared" ca="1" si="0"/>
        <v>4.09</v>
      </c>
      <c r="W60" s="181">
        <f t="shared" ca="1" si="28"/>
        <v>270</v>
      </c>
      <c r="X60" s="177">
        <f t="shared" ca="1" si="10"/>
        <v>18339.359374198721</v>
      </c>
      <c r="Y60" s="12">
        <f t="shared" ca="1" si="11"/>
        <v>10134.747194711539</v>
      </c>
      <c r="Z60" s="182">
        <f t="shared" ca="1" si="12"/>
        <v>2207040.6762820515</v>
      </c>
      <c r="AA60" s="271">
        <f t="shared" ca="1" si="29"/>
        <v>0.22</v>
      </c>
      <c r="AB60" s="12">
        <f t="shared" ca="1" si="13"/>
        <v>16147.934991362183</v>
      </c>
      <c r="AC60" s="12">
        <f t="shared" ca="1" si="14"/>
        <v>16147.934991362183</v>
      </c>
      <c r="AD60" s="199"/>
      <c r="AE60" s="273">
        <f t="shared" ca="1" si="15"/>
        <v>1.6821425527395739E-3</v>
      </c>
      <c r="AF60" s="184">
        <f t="shared" ca="1" si="16"/>
        <v>0.93173254383793913</v>
      </c>
      <c r="AG60" s="12">
        <f t="shared" ca="1" si="17"/>
        <v>15045.556547231556</v>
      </c>
      <c r="AH60" s="12">
        <f t="shared" ca="1" si="18"/>
        <v>15045.556547231556</v>
      </c>
      <c r="AI60" s="185">
        <f t="shared" ca="1" si="19"/>
        <v>49</v>
      </c>
      <c r="AJ60" s="177">
        <f t="shared" ca="1" si="20"/>
        <v>49</v>
      </c>
      <c r="AK60" s="12">
        <f t="shared" ca="1" si="21"/>
        <v>-18388.359374198728</v>
      </c>
      <c r="AL60" s="185">
        <f t="shared" ca="1" si="30"/>
        <v>18339.359374198728</v>
      </c>
      <c r="AM60" s="177">
        <f t="shared" ca="1" si="31"/>
        <v>18376.895474919882</v>
      </c>
      <c r="AN60" s="177">
        <f t="shared" ca="1" si="32"/>
        <v>14306.174595700479</v>
      </c>
      <c r="AO60" s="196">
        <f t="shared" ca="1" si="33"/>
        <v>270</v>
      </c>
      <c r="AP60" s="196">
        <f t="shared" ca="1" si="34"/>
        <v>176</v>
      </c>
      <c r="AQ60" s="177">
        <f t="shared" ca="1" si="35"/>
        <v>0</v>
      </c>
      <c r="AR60" s="177">
        <f t="shared" ca="1" si="36"/>
        <v>37.536100721154071</v>
      </c>
      <c r="AS60" s="189"/>
      <c r="AT60" s="190" t="str">
        <f>"Årstallet til den første januarmåneden i tabellen: t2vJan1Ar"</f>
        <v>Årstallet til den første januarmåneden i tabellen: t2vJan1Ar</v>
      </c>
      <c r="AU60" s="190" t="str">
        <f ca="1">"Kolonnenr i tabell for " &amp; SUBSTITUTE(ADDRESS(1, t2kGjeldsgrad,4),"1","") &amp; " - """ &amp; INDIRECT(ADDRESS(t2rTLn1-3, t2kGjeldsgrad)) &amp; """: t2kGjeldsgrad"</f>
        <v>Kolonnenr i tabell for V - "Gjeldsgrad": t2kGjeldsgrad</v>
      </c>
    </row>
    <row r="61" spans="1:47" x14ac:dyDescent="0.6">
      <c r="A61" s="152" t="str">
        <f t="shared" ca="1" si="1"/>
        <v>August 2028</v>
      </c>
      <c r="B61" s="191">
        <v>0</v>
      </c>
      <c r="C61" s="270">
        <f t="shared" ca="1" si="22"/>
        <v>5.4899999999999997E-2</v>
      </c>
      <c r="D61" s="192" t="str">
        <f t="shared" ca="1" si="23"/>
        <v/>
      </c>
      <c r="E61" s="193" t="str">
        <f t="shared" ca="1" si="24"/>
        <v/>
      </c>
      <c r="F61" s="194">
        <f t="shared" ca="1" si="25"/>
        <v>49</v>
      </c>
      <c r="G61" s="14">
        <v>44</v>
      </c>
      <c r="H61" s="157">
        <f t="shared" ca="1" si="26"/>
        <v>269</v>
      </c>
      <c r="I61" s="16">
        <f t="shared" ca="1" si="27"/>
        <v>18301.823273477574</v>
      </c>
      <c r="J61" s="16">
        <f t="shared" ca="1" si="2"/>
        <v>10097.211093990418</v>
      </c>
      <c r="K61" s="158">
        <f t="shared" ca="1" si="3"/>
        <v>8204.612179487156</v>
      </c>
      <c r="L61" s="158">
        <f t="shared" ca="1" si="4"/>
        <v>2198836.0641025715</v>
      </c>
      <c r="M61" s="15">
        <f t="shared" ca="1" si="5"/>
        <v>-3.2741809263825417E-11</v>
      </c>
      <c r="N61" s="16">
        <f ca="1">IF(Y61=0, 0, ROUND(SUM(Y$17:Y61)-SUM(J$17:J61),0))</f>
        <v>0</v>
      </c>
      <c r="O61" s="16" t="str">
        <f t="shared" ca="1" si="6"/>
        <v/>
      </c>
      <c r="P61" s="16">
        <f t="shared" ca="1" si="7"/>
        <v>2800000</v>
      </c>
      <c r="Q61" s="160">
        <f t="shared" ca="1" si="38"/>
        <v>5000000</v>
      </c>
      <c r="R61" s="160">
        <f t="shared" ca="1" si="38"/>
        <v>0</v>
      </c>
      <c r="S61" s="160">
        <f t="shared" ca="1" si="38"/>
        <v>358488</v>
      </c>
      <c r="T61" s="160">
        <f t="shared" ca="1" si="38"/>
        <v>628000</v>
      </c>
      <c r="U61" s="161" t="str">
        <f t="shared" ca="1" si="9"/>
        <v/>
      </c>
      <c r="V61" s="162">
        <f t="shared" ca="1" si="0"/>
        <v>4.08</v>
      </c>
      <c r="W61" s="195">
        <f t="shared" ca="1" si="28"/>
        <v>269</v>
      </c>
      <c r="X61" s="158">
        <f t="shared" ca="1" si="10"/>
        <v>18301.823273477567</v>
      </c>
      <c r="Y61" s="16">
        <f t="shared" ca="1" si="11"/>
        <v>10097.211093990385</v>
      </c>
      <c r="Z61" s="164">
        <f t="shared" ca="1" si="12"/>
        <v>2198836.0641025645</v>
      </c>
      <c r="AA61" s="272">
        <f t="shared" ca="1" si="29"/>
        <v>0.22</v>
      </c>
      <c r="AB61" s="16">
        <f t="shared" ca="1" si="13"/>
        <v>16118.656832799683</v>
      </c>
      <c r="AC61" s="16">
        <f t="shared" ca="1" si="14"/>
        <v>16118.656832799683</v>
      </c>
      <c r="AD61" s="197"/>
      <c r="AE61" s="274">
        <f t="shared" ca="1" si="15"/>
        <v>1.6821425527395739E-3</v>
      </c>
      <c r="AF61" s="166">
        <f t="shared" ca="1" si="16"/>
        <v>0.93016523687817709</v>
      </c>
      <c r="AG61" s="16">
        <f t="shared" ca="1" si="17"/>
        <v>14993.014251039165</v>
      </c>
      <c r="AH61" s="16">
        <f t="shared" ca="1" si="18"/>
        <v>14993.014251039165</v>
      </c>
      <c r="AI61" s="168">
        <f t="shared" ca="1" si="19"/>
        <v>49</v>
      </c>
      <c r="AJ61" s="158">
        <f t="shared" ca="1" si="20"/>
        <v>49</v>
      </c>
      <c r="AK61" s="16">
        <f t="shared" ca="1" si="21"/>
        <v>-18350.823273477574</v>
      </c>
      <c r="AL61" s="168">
        <f t="shared" ca="1" si="30"/>
        <v>18301.823273477574</v>
      </c>
      <c r="AM61" s="158">
        <f t="shared" ca="1" si="31"/>
        <v>18339.359374198728</v>
      </c>
      <c r="AN61" s="158">
        <f t="shared" ca="1" si="32"/>
        <v>14280.078929411775</v>
      </c>
      <c r="AO61" s="169">
        <f t="shared" ca="1" si="33"/>
        <v>269</v>
      </c>
      <c r="AP61" s="169">
        <f t="shared" ca="1" si="34"/>
        <v>176</v>
      </c>
      <c r="AQ61" s="158">
        <f t="shared" ca="1" si="35"/>
        <v>0</v>
      </c>
      <c r="AR61" s="158">
        <f t="shared" ca="1" si="36"/>
        <v>37.536100721154071</v>
      </c>
      <c r="AS61" s="170"/>
      <c r="AT61" s="159">
        <f ca="1">YEAR($E$5)+IF(t2vAntTAr1=12, 0, 1)</f>
        <v>2025</v>
      </c>
      <c r="AU61" s="159">
        <f>COLUMN($V$16)</f>
        <v>22</v>
      </c>
    </row>
    <row r="62" spans="1:47" x14ac:dyDescent="0.6">
      <c r="A62" s="171" t="str">
        <f t="shared" ca="1" si="1"/>
        <v>September 2028</v>
      </c>
      <c r="B62" s="191">
        <v>0</v>
      </c>
      <c r="C62" s="269">
        <f t="shared" ca="1" si="22"/>
        <v>5.4899999999999997E-2</v>
      </c>
      <c r="D62" s="173" t="str">
        <f t="shared" ca="1" si="23"/>
        <v/>
      </c>
      <c r="E62" s="174" t="str">
        <f t="shared" ca="1" si="24"/>
        <v/>
      </c>
      <c r="F62" s="175">
        <f t="shared" ca="1" si="25"/>
        <v>49</v>
      </c>
      <c r="G62" s="10">
        <v>45</v>
      </c>
      <c r="H62" s="176">
        <f t="shared" ca="1" si="26"/>
        <v>268</v>
      </c>
      <c r="I62" s="12">
        <f t="shared" ca="1" si="27"/>
        <v>18264.28717275642</v>
      </c>
      <c r="J62" s="12">
        <f t="shared" ca="1" si="2"/>
        <v>10059.674993269264</v>
      </c>
      <c r="K62" s="177">
        <f t="shared" ca="1" si="3"/>
        <v>8204.612179487156</v>
      </c>
      <c r="L62" s="177">
        <f t="shared" ca="1" si="4"/>
        <v>2190631.4519230844</v>
      </c>
      <c r="M62" s="11">
        <f t="shared" ca="1" si="5"/>
        <v>-3.2741809263825417E-11</v>
      </c>
      <c r="N62" s="12">
        <f ca="1">IF(Y62=0, 0, ROUND(SUM(Y$17:Y62)-SUM(J$17:J62),0))</f>
        <v>0</v>
      </c>
      <c r="O62" s="12" t="str">
        <f t="shared" ca="1" si="6"/>
        <v/>
      </c>
      <c r="P62" s="12" t="str">
        <f t="shared" ca="1" si="7"/>
        <v/>
      </c>
      <c r="Q62" s="178">
        <f t="shared" ca="1" si="38"/>
        <v>5000000</v>
      </c>
      <c r="R62" s="178">
        <f t="shared" ca="1" si="38"/>
        <v>0</v>
      </c>
      <c r="S62" s="178">
        <f t="shared" ca="1" si="38"/>
        <v>358488</v>
      </c>
      <c r="T62" s="178">
        <f t="shared" ca="1" si="38"/>
        <v>628000</v>
      </c>
      <c r="U62" s="179" t="str">
        <f t="shared" ca="1" si="9"/>
        <v/>
      </c>
      <c r="V62" s="180">
        <f t="shared" ca="1" si="0"/>
        <v>4.0599999999999996</v>
      </c>
      <c r="W62" s="181">
        <f t="shared" ca="1" si="28"/>
        <v>268</v>
      </c>
      <c r="X62" s="177">
        <f t="shared" ca="1" si="10"/>
        <v>18264.287172756412</v>
      </c>
      <c r="Y62" s="12">
        <f t="shared" ca="1" si="11"/>
        <v>10059.674993269231</v>
      </c>
      <c r="Z62" s="182">
        <f t="shared" ca="1" si="12"/>
        <v>2190631.451923077</v>
      </c>
      <c r="AA62" s="271">
        <f t="shared" ca="1" si="29"/>
        <v>0.22</v>
      </c>
      <c r="AB62" s="12">
        <f t="shared" ca="1" si="13"/>
        <v>16089.378674237181</v>
      </c>
      <c r="AC62" s="12">
        <f t="shared" ca="1" si="14"/>
        <v>16089.378674237181</v>
      </c>
      <c r="AD62" s="199"/>
      <c r="AE62" s="273">
        <f t="shared" ca="1" si="15"/>
        <v>1.6821425527395739E-3</v>
      </c>
      <c r="AF62" s="184">
        <f t="shared" ca="1" si="16"/>
        <v>0.92860056635214527</v>
      </c>
      <c r="AG62" s="12">
        <f t="shared" ca="1" si="17"/>
        <v>14940.606149150775</v>
      </c>
      <c r="AH62" s="12">
        <f t="shared" ca="1" si="18"/>
        <v>14940.606149150775</v>
      </c>
      <c r="AI62" s="185">
        <f t="shared" ca="1" si="19"/>
        <v>49</v>
      </c>
      <c r="AJ62" s="177">
        <f t="shared" ca="1" si="20"/>
        <v>49</v>
      </c>
      <c r="AK62" s="12">
        <f t="shared" ca="1" si="21"/>
        <v>-18313.28717275642</v>
      </c>
      <c r="AL62" s="185">
        <f t="shared" ca="1" si="30"/>
        <v>18264.28717275642</v>
      </c>
      <c r="AM62" s="177">
        <f t="shared" ca="1" si="31"/>
        <v>18301.823273477574</v>
      </c>
      <c r="AN62" s="177">
        <f t="shared" ca="1" si="32"/>
        <v>14254.00787459972</v>
      </c>
      <c r="AO62" s="196">
        <f t="shared" ca="1" si="33"/>
        <v>268</v>
      </c>
      <c r="AP62" s="196">
        <f t="shared" ca="1" si="34"/>
        <v>175</v>
      </c>
      <c r="AQ62" s="177">
        <f t="shared" ca="1" si="35"/>
        <v>0</v>
      </c>
      <c r="AR62" s="177">
        <f t="shared" ca="1" si="36"/>
        <v>37.536100721154071</v>
      </c>
      <c r="AS62" s="189"/>
      <c r="AT62" s="190" t="s">
        <v>129</v>
      </c>
      <c r="AU62" s="190" t="str">
        <f ca="1">"Kolonnenr i tabell for " &amp; SUBSTITUTE(ADDRESS(1, t2kTI2,4),"1","") &amp; " - """ &amp; INDIRECT(ADDRESS(t2rTLn1-2, t2kTI2)) &amp; """: t2kTI2"</f>
        <v>Kolonnenr i tabell for W - "Terminer igjen": t2kTI2</v>
      </c>
    </row>
    <row r="63" spans="1:47" x14ac:dyDescent="0.6">
      <c r="A63" s="152" t="str">
        <f t="shared" ca="1" si="1"/>
        <v>Oktober 2028</v>
      </c>
      <c r="B63" s="191">
        <v>0</v>
      </c>
      <c r="C63" s="270">
        <f t="shared" ca="1" si="22"/>
        <v>5.4899999999999997E-2</v>
      </c>
      <c r="D63" s="192" t="str">
        <f t="shared" ca="1" si="23"/>
        <v/>
      </c>
      <c r="E63" s="193" t="str">
        <f t="shared" ca="1" si="24"/>
        <v/>
      </c>
      <c r="F63" s="194">
        <f t="shared" ca="1" si="25"/>
        <v>49</v>
      </c>
      <c r="G63" s="14">
        <v>46</v>
      </c>
      <c r="H63" s="157">
        <f t="shared" ca="1" si="26"/>
        <v>267</v>
      </c>
      <c r="I63" s="16">
        <f t="shared" ca="1" si="27"/>
        <v>18226.751072035266</v>
      </c>
      <c r="J63" s="16">
        <f t="shared" ca="1" si="2"/>
        <v>10022.13889254811</v>
      </c>
      <c r="K63" s="158">
        <f t="shared" ca="1" si="3"/>
        <v>8204.612179487156</v>
      </c>
      <c r="L63" s="158">
        <f t="shared" ca="1" si="4"/>
        <v>2182426.8397435974</v>
      </c>
      <c r="M63" s="15">
        <f t="shared" ca="1" si="5"/>
        <v>-3.2741809263825417E-11</v>
      </c>
      <c r="N63" s="16">
        <f ca="1">IF(Y63=0, 0, ROUND(SUM(Y$17:Y63)-SUM(J$17:J63),0))</f>
        <v>0</v>
      </c>
      <c r="O63" s="16" t="str">
        <f t="shared" ca="1" si="6"/>
        <v/>
      </c>
      <c r="P63" s="16">
        <f t="shared" ca="1" si="7"/>
        <v>2810000</v>
      </c>
      <c r="Q63" s="160">
        <f t="shared" ca="1" si="38"/>
        <v>5000000</v>
      </c>
      <c r="R63" s="160">
        <f t="shared" ca="1" si="38"/>
        <v>0</v>
      </c>
      <c r="S63" s="160">
        <f t="shared" ca="1" si="38"/>
        <v>358488</v>
      </c>
      <c r="T63" s="160">
        <f t="shared" ca="1" si="38"/>
        <v>628000</v>
      </c>
      <c r="U63" s="161" t="str">
        <f t="shared" ca="1" si="9"/>
        <v/>
      </c>
      <c r="V63" s="162">
        <f t="shared" ca="1" si="0"/>
        <v>4.05</v>
      </c>
      <c r="W63" s="195">
        <f t="shared" ca="1" si="28"/>
        <v>267</v>
      </c>
      <c r="X63" s="158">
        <f t="shared" ca="1" si="10"/>
        <v>18226.751072035258</v>
      </c>
      <c r="Y63" s="16">
        <f t="shared" ca="1" si="11"/>
        <v>10022.138892548077</v>
      </c>
      <c r="Z63" s="164">
        <f t="shared" ca="1" si="12"/>
        <v>2182426.83974359</v>
      </c>
      <c r="AA63" s="272">
        <f t="shared" ca="1" si="29"/>
        <v>0.22</v>
      </c>
      <c r="AB63" s="16">
        <f t="shared" ca="1" si="13"/>
        <v>16060.100515674681</v>
      </c>
      <c r="AC63" s="16">
        <f t="shared" ca="1" si="14"/>
        <v>16060.100515674681</v>
      </c>
      <c r="AD63" s="197"/>
      <c r="AE63" s="274">
        <f t="shared" ca="1" si="15"/>
        <v>1.6821425527395739E-3</v>
      </c>
      <c r="AF63" s="166">
        <f t="shared" ca="1" si="16"/>
        <v>0.9270385278249863</v>
      </c>
      <c r="AG63" s="16">
        <f t="shared" ca="1" si="17"/>
        <v>14888.33193877236</v>
      </c>
      <c r="AH63" s="16">
        <f t="shared" ca="1" si="18"/>
        <v>14888.33193877236</v>
      </c>
      <c r="AI63" s="168">
        <f t="shared" ca="1" si="19"/>
        <v>49</v>
      </c>
      <c r="AJ63" s="158">
        <f t="shared" ca="1" si="20"/>
        <v>49</v>
      </c>
      <c r="AK63" s="16">
        <f t="shared" ca="1" si="21"/>
        <v>-18275.751072035266</v>
      </c>
      <c r="AL63" s="168">
        <f t="shared" ca="1" si="30"/>
        <v>18226.751072035266</v>
      </c>
      <c r="AM63" s="158">
        <f t="shared" ca="1" si="31"/>
        <v>18264.28717275642</v>
      </c>
      <c r="AN63" s="158">
        <f t="shared" ca="1" si="32"/>
        <v>14227.961458056161</v>
      </c>
      <c r="AO63" s="169">
        <f t="shared" ca="1" si="33"/>
        <v>267</v>
      </c>
      <c r="AP63" s="169">
        <f t="shared" ca="1" si="34"/>
        <v>175</v>
      </c>
      <c r="AQ63" s="158">
        <f t="shared" ca="1" si="35"/>
        <v>0</v>
      </c>
      <c r="AR63" s="158">
        <f t="shared" ca="1" si="36"/>
        <v>37.536100721154071</v>
      </c>
      <c r="AS63" s="170"/>
      <c r="AT63" s="159">
        <f ca="1">IF(t2vDmErITbl, t2rTLn1 + $R$9 - 1, 0)</f>
        <v>18</v>
      </c>
      <c r="AU63" s="159">
        <f>COLUMN($W$16)</f>
        <v>23</v>
      </c>
    </row>
    <row r="64" spans="1:47" x14ac:dyDescent="0.6">
      <c r="A64" s="171" t="str">
        <f t="shared" ca="1" si="1"/>
        <v>November 2028</v>
      </c>
      <c r="B64" s="191">
        <v>0</v>
      </c>
      <c r="C64" s="269">
        <f t="shared" ca="1" si="22"/>
        <v>5.4899999999999997E-2</v>
      </c>
      <c r="D64" s="173" t="str">
        <f t="shared" ca="1" si="23"/>
        <v/>
      </c>
      <c r="E64" s="174" t="str">
        <f t="shared" ca="1" si="24"/>
        <v/>
      </c>
      <c r="F64" s="175">
        <f t="shared" ca="1" si="25"/>
        <v>49</v>
      </c>
      <c r="G64" s="10">
        <v>47</v>
      </c>
      <c r="H64" s="176">
        <f t="shared" ca="1" si="26"/>
        <v>266</v>
      </c>
      <c r="I64" s="12">
        <f t="shared" ca="1" si="27"/>
        <v>18189.214971314112</v>
      </c>
      <c r="J64" s="12">
        <f t="shared" ca="1" si="2"/>
        <v>9984.6027918269574</v>
      </c>
      <c r="K64" s="177">
        <f t="shared" ca="1" si="3"/>
        <v>8204.6121794871542</v>
      </c>
      <c r="L64" s="177">
        <f t="shared" ca="1" si="4"/>
        <v>2174222.2275641104</v>
      </c>
      <c r="M64" s="11">
        <f t="shared" ca="1" si="5"/>
        <v>-3.4560798667371273E-11</v>
      </c>
      <c r="N64" s="12">
        <f ca="1">IF(Y64=0, 0, ROUND(SUM(Y$17:Y64)-SUM(J$17:J64),0))</f>
        <v>0</v>
      </c>
      <c r="O64" s="12" t="str">
        <f t="shared" ca="1" si="6"/>
        <v/>
      </c>
      <c r="P64" s="12">
        <f t="shared" ca="1" si="7"/>
        <v>2820000</v>
      </c>
      <c r="Q64" s="178">
        <f t="shared" ca="1" si="38"/>
        <v>5000000</v>
      </c>
      <c r="R64" s="178">
        <f t="shared" ca="1" si="38"/>
        <v>0</v>
      </c>
      <c r="S64" s="178">
        <f t="shared" ca="1" si="38"/>
        <v>358488</v>
      </c>
      <c r="T64" s="178">
        <f t="shared" ca="1" si="38"/>
        <v>628000</v>
      </c>
      <c r="U64" s="179" t="str">
        <f t="shared" ca="1" si="9"/>
        <v/>
      </c>
      <c r="V64" s="180">
        <f t="shared" ca="1" si="0"/>
        <v>4.04</v>
      </c>
      <c r="W64" s="181">
        <f t="shared" ca="1" si="28"/>
        <v>266</v>
      </c>
      <c r="X64" s="177">
        <f t="shared" ca="1" si="10"/>
        <v>18189.214971314104</v>
      </c>
      <c r="Y64" s="12">
        <f t="shared" ca="1" si="11"/>
        <v>9984.6027918269228</v>
      </c>
      <c r="Z64" s="182">
        <f t="shared" ca="1" si="12"/>
        <v>2174222.2275641025</v>
      </c>
      <c r="AA64" s="271">
        <f t="shared" ca="1" si="29"/>
        <v>0.22</v>
      </c>
      <c r="AB64" s="12">
        <f t="shared" ca="1" si="13"/>
        <v>16030.822357112182</v>
      </c>
      <c r="AC64" s="12">
        <f t="shared" ca="1" si="14"/>
        <v>16030.822357112182</v>
      </c>
      <c r="AD64" s="199"/>
      <c r="AE64" s="273">
        <f t="shared" ca="1" si="15"/>
        <v>1.6821425527395739E-3</v>
      </c>
      <c r="AF64" s="184">
        <f t="shared" ca="1" si="16"/>
        <v>0.92547911686930284</v>
      </c>
      <c r="AG64" s="12">
        <f t="shared" ca="1" si="17"/>
        <v>14836.191317748857</v>
      </c>
      <c r="AH64" s="12">
        <f t="shared" ca="1" si="18"/>
        <v>14836.191317748857</v>
      </c>
      <c r="AI64" s="185">
        <f t="shared" ca="1" si="19"/>
        <v>49</v>
      </c>
      <c r="AJ64" s="177">
        <f t="shared" ca="1" si="20"/>
        <v>49</v>
      </c>
      <c r="AK64" s="12">
        <f t="shared" ca="1" si="21"/>
        <v>-18238.214971314112</v>
      </c>
      <c r="AL64" s="185">
        <f t="shared" ca="1" si="30"/>
        <v>18189.214971314112</v>
      </c>
      <c r="AM64" s="177">
        <f t="shared" ca="1" si="31"/>
        <v>18226.751072035266</v>
      </c>
      <c r="AN64" s="177">
        <f t="shared" ca="1" si="32"/>
        <v>14201.939706507592</v>
      </c>
      <c r="AO64" s="196">
        <f t="shared" ca="1" si="33"/>
        <v>266</v>
      </c>
      <c r="AP64" s="196">
        <f t="shared" ca="1" si="34"/>
        <v>174</v>
      </c>
      <c r="AQ64" s="177">
        <f t="shared" ca="1" si="35"/>
        <v>0</v>
      </c>
      <c r="AR64" s="177">
        <f t="shared" ca="1" si="36"/>
        <v>37.536100721154071</v>
      </c>
      <c r="AS64" s="189"/>
      <c r="AT64" s="190" t="s">
        <v>130</v>
      </c>
      <c r="AU64" s="190" t="str">
        <f ca="1">"Kolonnenr i tabell for " &amp; SUBSTITUTE(ADDRESS(1, t2kTB2,4),"1","") &amp; " - """ &amp; INDIRECT(ADDRESS(t2rTLn1-3, t2kTB2)) &amp; """: t2kTB2"</f>
        <v>Kolonnenr i tabell for X - "Termin-beløp uten gebyr": t2kTB2</v>
      </c>
    </row>
    <row r="65" spans="1:47" x14ac:dyDescent="0.6">
      <c r="A65" s="152" t="str">
        <f t="shared" ca="1" si="1"/>
        <v>Desember 2028</v>
      </c>
      <c r="B65" s="191">
        <v>0</v>
      </c>
      <c r="C65" s="270">
        <f t="shared" ca="1" si="22"/>
        <v>5.4899999999999997E-2</v>
      </c>
      <c r="D65" s="192" t="str">
        <f t="shared" ca="1" si="23"/>
        <v/>
      </c>
      <c r="E65" s="193" t="str">
        <f t="shared" ca="1" si="24"/>
        <v/>
      </c>
      <c r="F65" s="194">
        <f t="shared" ca="1" si="25"/>
        <v>49</v>
      </c>
      <c r="G65" s="14">
        <v>48</v>
      </c>
      <c r="H65" s="157">
        <f t="shared" ca="1" si="26"/>
        <v>265</v>
      </c>
      <c r="I65" s="16">
        <f t="shared" ca="1" si="27"/>
        <v>18151.678870592958</v>
      </c>
      <c r="J65" s="16">
        <f t="shared" ca="1" si="2"/>
        <v>9947.0666911058051</v>
      </c>
      <c r="K65" s="158">
        <f t="shared" ca="1" si="3"/>
        <v>8204.6121794871524</v>
      </c>
      <c r="L65" s="158">
        <f t="shared" ca="1" si="4"/>
        <v>2166017.6153846234</v>
      </c>
      <c r="M65" s="15">
        <f t="shared" ca="1" si="5"/>
        <v>-3.637978807091713E-11</v>
      </c>
      <c r="N65" s="16">
        <f ca="1">IF(Y65=0, 0, ROUND(SUM(Y$17:Y65)-SUM(J$17:J65),0))</f>
        <v>0</v>
      </c>
      <c r="O65" s="16" t="str">
        <f t="shared" ca="1" si="6"/>
        <v/>
      </c>
      <c r="P65" s="16">
        <f t="shared" ca="1" si="7"/>
        <v>2830000</v>
      </c>
      <c r="Q65" s="160">
        <f t="shared" ca="1" si="38"/>
        <v>5000000</v>
      </c>
      <c r="R65" s="160">
        <f t="shared" ca="1" si="38"/>
        <v>0</v>
      </c>
      <c r="S65" s="160">
        <f t="shared" ca="1" si="38"/>
        <v>358488</v>
      </c>
      <c r="T65" s="160">
        <f t="shared" ca="1" si="38"/>
        <v>628000</v>
      </c>
      <c r="U65" s="161" t="str">
        <f t="shared" ca="1" si="9"/>
        <v/>
      </c>
      <c r="V65" s="162">
        <f t="shared" ca="1" si="0"/>
        <v>4.0199999999999996</v>
      </c>
      <c r="W65" s="195">
        <f t="shared" ca="1" si="28"/>
        <v>265</v>
      </c>
      <c r="X65" s="158">
        <f t="shared" ca="1" si="10"/>
        <v>18151.67887059295</v>
      </c>
      <c r="Y65" s="16">
        <f t="shared" ca="1" si="11"/>
        <v>9947.0666911057688</v>
      </c>
      <c r="Z65" s="164">
        <f t="shared" ca="1" si="12"/>
        <v>2166017.6153846155</v>
      </c>
      <c r="AA65" s="272">
        <f t="shared" ca="1" si="29"/>
        <v>0.22</v>
      </c>
      <c r="AB65" s="16">
        <f t="shared" ca="1" si="13"/>
        <v>16001.54419854968</v>
      </c>
      <c r="AC65" s="16">
        <f t="shared" ca="1" si="14"/>
        <v>16001.544198549682</v>
      </c>
      <c r="AD65" s="197"/>
      <c r="AE65" s="274">
        <f t="shared" ca="1" si="15"/>
        <v>1.6821425527395739E-3</v>
      </c>
      <c r="AF65" s="166">
        <f t="shared" ca="1" si="16"/>
        <v>0.92392232906514515</v>
      </c>
      <c r="AG65" s="16">
        <f t="shared" ca="1" si="17"/>
        <v>14784.183984562882</v>
      </c>
      <c r="AH65" s="16">
        <f t="shared" ca="1" si="18"/>
        <v>14784.183984562884</v>
      </c>
      <c r="AI65" s="168">
        <f t="shared" ca="1" si="19"/>
        <v>49</v>
      </c>
      <c r="AJ65" s="158">
        <f t="shared" ca="1" si="20"/>
        <v>49</v>
      </c>
      <c r="AK65" s="16">
        <f t="shared" ca="1" si="21"/>
        <v>-18200.678870592958</v>
      </c>
      <c r="AL65" s="168">
        <f t="shared" ca="1" si="30"/>
        <v>18151.678870592958</v>
      </c>
      <c r="AM65" s="158">
        <f t="shared" ca="1" si="31"/>
        <v>18189.214971314112</v>
      </c>
      <c r="AN65" s="158">
        <f t="shared" ca="1" si="32"/>
        <v>14175.942646614827</v>
      </c>
      <c r="AO65" s="169">
        <f t="shared" ca="1" si="33"/>
        <v>265</v>
      </c>
      <c r="AP65" s="169">
        <f t="shared" ca="1" si="34"/>
        <v>174</v>
      </c>
      <c r="AQ65" s="158">
        <f t="shared" ca="1" si="35"/>
        <v>0</v>
      </c>
      <c r="AR65" s="158">
        <f t="shared" ca="1" si="36"/>
        <v>37.536100721154071</v>
      </c>
      <c r="AS65" s="170"/>
      <c r="AT65" s="278" t="b">
        <f ca="1">IF(t2rDenneManed &gt; 0, AND(ISNUMBER(INDIRECT(ADDRESS(t2rDenneManed, t2kGjeldsgrad))), SUM(INDIRECT(ADDRESS(t2rDenneManed, t2kGjeldsgrad))) &lt;= SUM($P$10)), FALSE())</f>
        <v>0</v>
      </c>
      <c r="AU65" s="159">
        <f>COLUMN($X$16)</f>
        <v>24</v>
      </c>
    </row>
    <row r="66" spans="1:47" x14ac:dyDescent="0.6">
      <c r="A66" s="171" t="str">
        <f t="shared" ca="1" si="1"/>
        <v>Januar 2029</v>
      </c>
      <c r="B66" s="191">
        <v>0</v>
      </c>
      <c r="C66" s="269">
        <f t="shared" ca="1" si="22"/>
        <v>5.4899999999999997E-2</v>
      </c>
      <c r="D66" s="173" t="str">
        <f t="shared" ca="1" si="23"/>
        <v/>
      </c>
      <c r="E66" s="174" t="str">
        <f t="shared" ca="1" si="24"/>
        <v/>
      </c>
      <c r="F66" s="175">
        <f t="shared" ca="1" si="25"/>
        <v>49</v>
      </c>
      <c r="G66" s="10">
        <v>49</v>
      </c>
      <c r="H66" s="176">
        <f t="shared" ca="1" si="26"/>
        <v>264</v>
      </c>
      <c r="I66" s="12">
        <f t="shared" ca="1" si="27"/>
        <v>18114.142769871803</v>
      </c>
      <c r="J66" s="12">
        <f t="shared" ca="1" si="2"/>
        <v>9909.5305903846511</v>
      </c>
      <c r="K66" s="177">
        <f t="shared" ca="1" si="3"/>
        <v>8204.6121794871524</v>
      </c>
      <c r="L66" s="177">
        <f t="shared" ca="1" si="4"/>
        <v>2157813.0032051364</v>
      </c>
      <c r="M66" s="11">
        <f t="shared" ca="1" si="5"/>
        <v>-3.637978807091713E-11</v>
      </c>
      <c r="N66" s="12">
        <f ca="1">IF(Y66=0, 0, ROUND(SUM(Y$17:Y66)-SUM(J$17:J66),0))</f>
        <v>0</v>
      </c>
      <c r="O66" s="12" t="str">
        <f t="shared" ca="1" si="6"/>
        <v/>
      </c>
      <c r="P66" s="12">
        <f t="shared" ca="1" si="7"/>
        <v>2840000</v>
      </c>
      <c r="Q66" s="178">
        <f t="shared" ca="1" si="38"/>
        <v>5000000</v>
      </c>
      <c r="R66" s="178">
        <f t="shared" ca="1" si="38"/>
        <v>0</v>
      </c>
      <c r="S66" s="178">
        <f t="shared" ca="1" si="38"/>
        <v>358488</v>
      </c>
      <c r="T66" s="178">
        <f t="shared" ca="1" si="38"/>
        <v>628000</v>
      </c>
      <c r="U66" s="179" t="str">
        <f t="shared" ca="1" si="9"/>
        <v/>
      </c>
      <c r="V66" s="180">
        <f t="shared" ca="1" si="0"/>
        <v>4.01</v>
      </c>
      <c r="W66" s="181">
        <f t="shared" ca="1" si="28"/>
        <v>264</v>
      </c>
      <c r="X66" s="177">
        <f t="shared" ca="1" si="10"/>
        <v>18114.142769871796</v>
      </c>
      <c r="Y66" s="12">
        <f t="shared" ca="1" si="11"/>
        <v>9909.5305903846147</v>
      </c>
      <c r="Z66" s="182">
        <f t="shared" ca="1" si="12"/>
        <v>2157813.0032051285</v>
      </c>
      <c r="AA66" s="271">
        <f t="shared" ca="1" si="29"/>
        <v>0.22</v>
      </c>
      <c r="AB66" s="12">
        <f t="shared" ca="1" si="13"/>
        <v>15972.26603998718</v>
      </c>
      <c r="AC66" s="12">
        <f t="shared" ca="1" si="14"/>
        <v>15972.266039987182</v>
      </c>
      <c r="AD66" s="199"/>
      <c r="AE66" s="273">
        <f t="shared" ca="1" si="15"/>
        <v>1.6821425527395739E-3</v>
      </c>
      <c r="AF66" s="184">
        <f t="shared" ca="1" si="16"/>
        <v>0.92236815999999844</v>
      </c>
      <c r="AG66" s="12">
        <f t="shared" ca="1" si="17"/>
        <v>14732.309638333438</v>
      </c>
      <c r="AH66" s="12">
        <f t="shared" ca="1" si="18"/>
        <v>14732.309638333438</v>
      </c>
      <c r="AI66" s="185">
        <f t="shared" ca="1" si="19"/>
        <v>49</v>
      </c>
      <c r="AJ66" s="177">
        <f t="shared" ca="1" si="20"/>
        <v>49</v>
      </c>
      <c r="AK66" s="12">
        <f t="shared" ca="1" si="21"/>
        <v>-18163.142769871803</v>
      </c>
      <c r="AL66" s="185">
        <f t="shared" ca="1" si="30"/>
        <v>18114.142769871803</v>
      </c>
      <c r="AM66" s="177">
        <f t="shared" ca="1" si="31"/>
        <v>18151.678870592958</v>
      </c>
      <c r="AN66" s="177">
        <f t="shared" ca="1" si="32"/>
        <v>14149.970304972674</v>
      </c>
      <c r="AO66" s="196">
        <f t="shared" ca="1" si="33"/>
        <v>264</v>
      </c>
      <c r="AP66" s="196">
        <f t="shared" ca="1" si="34"/>
        <v>173</v>
      </c>
      <c r="AQ66" s="177">
        <f t="shared" ca="1" si="35"/>
        <v>0</v>
      </c>
      <c r="AR66" s="177">
        <f t="shared" ca="1" si="36"/>
        <v>37.536100721154071</v>
      </c>
      <c r="AS66" s="189"/>
      <c r="AT66" s="190" t="s">
        <v>131</v>
      </c>
      <c r="AU66" s="190" t="str">
        <f ca="1">"Kolonnenr i tabell for " &amp; SUBSTITUTE(ADDRESS(1, t2kR2,4),"1","") &amp; " - """ &amp; INDIRECT(ADDRESS(t2rTLn1-2, t2kR2)) &amp; """: t2kR2"</f>
        <v>Kolonnenr i tabell for Y - "Renter u/tnb": t2kR2</v>
      </c>
    </row>
    <row r="67" spans="1:47" x14ac:dyDescent="0.6">
      <c r="A67" s="152" t="str">
        <f t="shared" ca="1" si="1"/>
        <v>Februar 2029</v>
      </c>
      <c r="B67" s="191">
        <v>0</v>
      </c>
      <c r="C67" s="270">
        <f t="shared" ca="1" si="22"/>
        <v>5.4899999999999997E-2</v>
      </c>
      <c r="D67" s="192" t="str">
        <f t="shared" ca="1" si="23"/>
        <v/>
      </c>
      <c r="E67" s="193" t="str">
        <f t="shared" ca="1" si="24"/>
        <v/>
      </c>
      <c r="F67" s="194">
        <f t="shared" ca="1" si="25"/>
        <v>49</v>
      </c>
      <c r="G67" s="14">
        <v>50</v>
      </c>
      <c r="H67" s="157">
        <f t="shared" ca="1" si="26"/>
        <v>263</v>
      </c>
      <c r="I67" s="16">
        <f t="shared" ca="1" si="27"/>
        <v>18076.606669150649</v>
      </c>
      <c r="J67" s="16">
        <f t="shared" ca="1" si="2"/>
        <v>9871.9944896634988</v>
      </c>
      <c r="K67" s="158">
        <f t="shared" ca="1" si="3"/>
        <v>8204.6121794871506</v>
      </c>
      <c r="L67" s="158">
        <f t="shared" ca="1" si="4"/>
        <v>2149608.3910256494</v>
      </c>
      <c r="M67" s="15">
        <f t="shared" ca="1" si="5"/>
        <v>-3.637978807091713E-11</v>
      </c>
      <c r="N67" s="16">
        <f ca="1">IF(Y67=0, 0, ROUND(SUM(Y$17:Y67)-SUM(J$17:J67),0))</f>
        <v>0</v>
      </c>
      <c r="O67" s="16" t="str">
        <f t="shared" ca="1" si="6"/>
        <v/>
      </c>
      <c r="P67" s="16">
        <f t="shared" ca="1" si="7"/>
        <v>2850000</v>
      </c>
      <c r="Q67" s="160">
        <f t="shared" ca="1" si="38"/>
        <v>5000000</v>
      </c>
      <c r="R67" s="160">
        <f t="shared" ca="1" si="38"/>
        <v>0</v>
      </c>
      <c r="S67" s="160">
        <f t="shared" ca="1" si="38"/>
        <v>358488</v>
      </c>
      <c r="T67" s="160">
        <f t="shared" ca="1" si="38"/>
        <v>628000</v>
      </c>
      <c r="U67" s="161" t="str">
        <f t="shared" ca="1" si="9"/>
        <v/>
      </c>
      <c r="V67" s="162">
        <f t="shared" ca="1" si="0"/>
        <v>4</v>
      </c>
      <c r="W67" s="195">
        <f t="shared" ca="1" si="28"/>
        <v>263</v>
      </c>
      <c r="X67" s="158">
        <f t="shared" ca="1" si="10"/>
        <v>18076.606669150642</v>
      </c>
      <c r="Y67" s="16">
        <f t="shared" ca="1" si="11"/>
        <v>9871.9944896634624</v>
      </c>
      <c r="Z67" s="164">
        <f t="shared" ca="1" si="12"/>
        <v>2149608.391025641</v>
      </c>
      <c r="AA67" s="272">
        <f t="shared" ca="1" si="29"/>
        <v>0.22</v>
      </c>
      <c r="AB67" s="16">
        <f t="shared" ca="1" si="13"/>
        <v>15942.98788142468</v>
      </c>
      <c r="AC67" s="16">
        <f t="shared" ca="1" si="14"/>
        <v>15942.98788142468</v>
      </c>
      <c r="AD67" s="197"/>
      <c r="AE67" s="274">
        <f t="shared" ca="1" si="15"/>
        <v>1.6821425527395739E-3</v>
      </c>
      <c r="AF67" s="166">
        <f t="shared" ca="1" si="16"/>
        <v>0.92081660526877029</v>
      </c>
      <c r="AG67" s="16">
        <f t="shared" ca="1" si="17"/>
        <v>14680.567978814619</v>
      </c>
      <c r="AH67" s="16">
        <f t="shared" ca="1" si="18"/>
        <v>14680.567978814619</v>
      </c>
      <c r="AI67" s="168">
        <f t="shared" ca="1" si="19"/>
        <v>49</v>
      </c>
      <c r="AJ67" s="158">
        <f t="shared" ca="1" si="20"/>
        <v>49</v>
      </c>
      <c r="AK67" s="16">
        <f t="shared" ca="1" si="21"/>
        <v>-18125.606669150649</v>
      </c>
      <c r="AL67" s="168">
        <f t="shared" ca="1" si="30"/>
        <v>18076.606669150649</v>
      </c>
      <c r="AM67" s="158">
        <f t="shared" ca="1" si="31"/>
        <v>18114.142769871803</v>
      </c>
      <c r="AN67" s="158">
        <f t="shared" ca="1" si="32"/>
        <v>14124.022708109587</v>
      </c>
      <c r="AO67" s="169">
        <f t="shared" ca="1" si="33"/>
        <v>263</v>
      </c>
      <c r="AP67" s="169">
        <f t="shared" ca="1" si="34"/>
        <v>173</v>
      </c>
      <c r="AQ67" s="158">
        <f t="shared" ca="1" si="35"/>
        <v>0</v>
      </c>
      <c r="AR67" s="158">
        <f t="shared" ca="1" si="36"/>
        <v>37.536100721154071</v>
      </c>
      <c r="AS67" s="170"/>
      <c r="AT67" s="159">
        <f ca="1">IF(t2vDmErPostTabell, MAX(INDIRECT(ADDRESS(t2rTLn1, t2kRadnrGjeldsgradTreff) &amp; ":" &amp; ADDRESS(t2rTLnN, t2kRadnrGjeldsgradTreff))), IF(t2vDmErPreTabell, MIN(INDIRECT(ADDRESS(t2rTLn1, t2kRadnrGjeldsgradTreff) &amp; ":" &amp; ADDRESS(t2rTLnN, t2kRadnrGjeldsgradTreff))), IF(t2vHarDmGjeldsgradtallITabellenLavereEllerLikMalet, MAX(INDIRECT(ADDRESS(t2rTLn1, t2kRadnrGjeldsgradTreff) &amp; ":" &amp; ADDRESS(t2rDenneManed, t2kRadnrGjeldsgradTreff))), MIN(INDIRECT(ADDRESS(t2rDenneManed, t2kRadnrGjeldsgradTreff) &amp; ":" &amp; ADDRESS(t2rTLnN, t2kRadnrGjeldsgradTreff))))))</f>
        <v>144</v>
      </c>
      <c r="AU67" s="159">
        <f>COLUMN($Y$16)</f>
        <v>25</v>
      </c>
    </row>
    <row r="68" spans="1:47" x14ac:dyDescent="0.6">
      <c r="A68" s="171" t="str">
        <f t="shared" ca="1" si="1"/>
        <v>Mars 2029</v>
      </c>
      <c r="B68" s="191">
        <v>0</v>
      </c>
      <c r="C68" s="269">
        <f t="shared" ca="1" si="22"/>
        <v>5.4899999999999997E-2</v>
      </c>
      <c r="D68" s="173" t="str">
        <f t="shared" ca="1" si="23"/>
        <v/>
      </c>
      <c r="E68" s="174" t="str">
        <f t="shared" ca="1" si="24"/>
        <v/>
      </c>
      <c r="F68" s="175">
        <f t="shared" ca="1" si="25"/>
        <v>49</v>
      </c>
      <c r="G68" s="10">
        <v>51</v>
      </c>
      <c r="H68" s="176">
        <f t="shared" ca="1" si="26"/>
        <v>262</v>
      </c>
      <c r="I68" s="12">
        <f t="shared" ca="1" si="27"/>
        <v>18039.070568429495</v>
      </c>
      <c r="J68" s="12">
        <f t="shared" ca="1" si="2"/>
        <v>9834.4583889423466</v>
      </c>
      <c r="K68" s="177">
        <f t="shared" ca="1" si="3"/>
        <v>8204.6121794871488</v>
      </c>
      <c r="L68" s="177">
        <f t="shared" ca="1" si="4"/>
        <v>2141403.7788461624</v>
      </c>
      <c r="M68" s="11">
        <f t="shared" ca="1" si="5"/>
        <v>-4.0017766878008842E-11</v>
      </c>
      <c r="N68" s="12">
        <f ca="1">IF(Y68=0, 0, ROUND(SUM(Y$17:Y68)-SUM(J$17:J68),0))</f>
        <v>0</v>
      </c>
      <c r="O68" s="12" t="str">
        <f t="shared" ca="1" si="6"/>
        <v/>
      </c>
      <c r="P68" s="12" t="str">
        <f t="shared" ca="1" si="7"/>
        <v/>
      </c>
      <c r="Q68" s="178">
        <f t="shared" ca="1" si="38"/>
        <v>5000000</v>
      </c>
      <c r="R68" s="178">
        <f t="shared" ca="1" si="38"/>
        <v>0</v>
      </c>
      <c r="S68" s="178">
        <f t="shared" ca="1" si="38"/>
        <v>358488</v>
      </c>
      <c r="T68" s="178">
        <f t="shared" ca="1" si="38"/>
        <v>628000</v>
      </c>
      <c r="U68" s="179" t="str">
        <f t="shared" ca="1" si="9"/>
        <v/>
      </c>
      <c r="V68" s="180">
        <f t="shared" ca="1" si="0"/>
        <v>3.9899999999999998</v>
      </c>
      <c r="W68" s="181">
        <f t="shared" ca="1" si="28"/>
        <v>262</v>
      </c>
      <c r="X68" s="177">
        <f t="shared" ca="1" si="10"/>
        <v>18039.070568429488</v>
      </c>
      <c r="Y68" s="12">
        <f t="shared" ca="1" si="11"/>
        <v>9834.4583889423066</v>
      </c>
      <c r="Z68" s="182">
        <f t="shared" ca="1" si="12"/>
        <v>2141403.778846154</v>
      </c>
      <c r="AA68" s="271">
        <f t="shared" ca="1" si="29"/>
        <v>0.22</v>
      </c>
      <c r="AB68" s="12">
        <f t="shared" ca="1" si="13"/>
        <v>15913.709722862179</v>
      </c>
      <c r="AC68" s="12">
        <f t="shared" ca="1" si="14"/>
        <v>15913.709722862181</v>
      </c>
      <c r="AD68" s="199"/>
      <c r="AE68" s="273">
        <f t="shared" ca="1" si="15"/>
        <v>1.6821425527395739E-3</v>
      </c>
      <c r="AF68" s="184">
        <f t="shared" ca="1" si="16"/>
        <v>0.9192676604737785</v>
      </c>
      <c r="AG68" s="12">
        <f t="shared" ca="1" si="17"/>
        <v>14628.958706394336</v>
      </c>
      <c r="AH68" s="12">
        <f t="shared" ca="1" si="18"/>
        <v>14628.958706394338</v>
      </c>
      <c r="AI68" s="185">
        <f t="shared" ca="1" si="19"/>
        <v>49</v>
      </c>
      <c r="AJ68" s="177">
        <f t="shared" ca="1" si="20"/>
        <v>49</v>
      </c>
      <c r="AK68" s="12">
        <f t="shared" ca="1" si="21"/>
        <v>-18088.070568429495</v>
      </c>
      <c r="AL68" s="185">
        <f t="shared" ca="1" si="30"/>
        <v>18039.070568429495</v>
      </c>
      <c r="AM68" s="177">
        <f t="shared" ca="1" si="31"/>
        <v>18076.606669150649</v>
      </c>
      <c r="AN68" s="177">
        <f t="shared" ca="1" si="32"/>
        <v>14098.099882487339</v>
      </c>
      <c r="AO68" s="196">
        <f t="shared" ca="1" si="33"/>
        <v>262</v>
      </c>
      <c r="AP68" s="196">
        <f t="shared" ca="1" si="34"/>
        <v>173</v>
      </c>
      <c r="AQ68" s="177">
        <f t="shared" ca="1" si="35"/>
        <v>0</v>
      </c>
      <c r="AR68" s="177">
        <f t="shared" ca="1" si="36"/>
        <v>37.536100721154071</v>
      </c>
      <c r="AS68" s="189"/>
      <c r="AT68" s="190"/>
      <c r="AU68" s="190" t="str">
        <f ca="1">"Kolonnenr i tabell for " &amp; SUBSTITUTE(ADDRESS(1, t2kS2,4),"1","") &amp; " - """ &amp; INDIRECT(ADDRESS(t2rTLn1-2, t2kS2)) &amp; """: t2kS2"</f>
        <v>Kolonnenr i tabell for Z - "Saldo": t2kS2</v>
      </c>
    </row>
    <row r="69" spans="1:47" x14ac:dyDescent="0.6">
      <c r="A69" s="152" t="str">
        <f t="shared" ca="1" si="1"/>
        <v>April 2029</v>
      </c>
      <c r="B69" s="191">
        <v>0</v>
      </c>
      <c r="C69" s="270">
        <f t="shared" ca="1" si="22"/>
        <v>5.4899999999999997E-2</v>
      </c>
      <c r="D69" s="192" t="str">
        <f t="shared" ca="1" si="23"/>
        <v/>
      </c>
      <c r="E69" s="193" t="str">
        <f t="shared" ca="1" si="24"/>
        <v/>
      </c>
      <c r="F69" s="194">
        <f t="shared" ca="1" si="25"/>
        <v>49</v>
      </c>
      <c r="G69" s="14">
        <v>52</v>
      </c>
      <c r="H69" s="157">
        <f t="shared" ca="1" si="26"/>
        <v>261</v>
      </c>
      <c r="I69" s="16">
        <f t="shared" ca="1" si="27"/>
        <v>18001.534467708341</v>
      </c>
      <c r="J69" s="16">
        <f t="shared" ca="1" si="2"/>
        <v>9796.9222882211925</v>
      </c>
      <c r="K69" s="158">
        <f t="shared" ca="1" si="3"/>
        <v>8204.6121794871488</v>
      </c>
      <c r="L69" s="158">
        <f t="shared" ca="1" si="4"/>
        <v>2133199.1666666754</v>
      </c>
      <c r="M69" s="15">
        <f t="shared" ca="1" si="5"/>
        <v>-3.8198777474462986E-11</v>
      </c>
      <c r="N69" s="16">
        <f ca="1">IF(Y69=0, 0, ROUND(SUM(Y$17:Y69)-SUM(J$17:J69),0))</f>
        <v>0</v>
      </c>
      <c r="O69" s="16" t="str">
        <f t="shared" ca="1" si="6"/>
        <v/>
      </c>
      <c r="P69" s="16">
        <f t="shared" ca="1" si="7"/>
        <v>2860000</v>
      </c>
      <c r="Q69" s="160">
        <f t="shared" ca="1" si="38"/>
        <v>5000000</v>
      </c>
      <c r="R69" s="160">
        <f t="shared" ca="1" si="38"/>
        <v>0</v>
      </c>
      <c r="S69" s="160">
        <f t="shared" ca="1" si="38"/>
        <v>358488</v>
      </c>
      <c r="T69" s="160">
        <f t="shared" ca="1" si="38"/>
        <v>628000</v>
      </c>
      <c r="U69" s="161" t="str">
        <f t="shared" ca="1" si="9"/>
        <v/>
      </c>
      <c r="V69" s="162">
        <f t="shared" ca="1" si="0"/>
        <v>3.9699999999999998</v>
      </c>
      <c r="W69" s="195">
        <f t="shared" ca="1" si="28"/>
        <v>261</v>
      </c>
      <c r="X69" s="158">
        <f t="shared" ca="1" si="10"/>
        <v>18001.534467708334</v>
      </c>
      <c r="Y69" s="16">
        <f t="shared" ca="1" si="11"/>
        <v>9796.9222882211543</v>
      </c>
      <c r="Z69" s="164">
        <f t="shared" ca="1" si="12"/>
        <v>2133199.166666667</v>
      </c>
      <c r="AA69" s="272">
        <f t="shared" ca="1" si="29"/>
        <v>0.22</v>
      </c>
      <c r="AB69" s="16">
        <f t="shared" ca="1" si="13"/>
        <v>15884.431564299679</v>
      </c>
      <c r="AC69" s="16">
        <f t="shared" ca="1" si="14"/>
        <v>15884.431564299681</v>
      </c>
      <c r="AD69" s="197"/>
      <c r="AE69" s="274">
        <f t="shared" ca="1" si="15"/>
        <v>1.6821425527395739E-3</v>
      </c>
      <c r="AF69" s="166">
        <f t="shared" ca="1" si="16"/>
        <v>0.91772132122473815</v>
      </c>
      <c r="AG69" s="16">
        <f t="shared" ca="1" si="17"/>
        <v>14577.481522093036</v>
      </c>
      <c r="AH69" s="16">
        <f t="shared" ca="1" si="18"/>
        <v>14577.481522093038</v>
      </c>
      <c r="AI69" s="168">
        <f t="shared" ca="1" si="19"/>
        <v>49</v>
      </c>
      <c r="AJ69" s="158">
        <f t="shared" ca="1" si="20"/>
        <v>49</v>
      </c>
      <c r="AK69" s="16">
        <f t="shared" ca="1" si="21"/>
        <v>-18050.534467708341</v>
      </c>
      <c r="AL69" s="168">
        <f t="shared" ca="1" si="30"/>
        <v>18001.534467708341</v>
      </c>
      <c r="AM69" s="158">
        <f t="shared" ca="1" si="31"/>
        <v>18039.070568429495</v>
      </c>
      <c r="AN69" s="158">
        <f t="shared" ca="1" si="32"/>
        <v>14072.201854500707</v>
      </c>
      <c r="AO69" s="169">
        <f t="shared" ca="1" si="33"/>
        <v>261</v>
      </c>
      <c r="AP69" s="169">
        <f t="shared" ca="1" si="34"/>
        <v>172</v>
      </c>
      <c r="AQ69" s="158">
        <f t="shared" ca="1" si="35"/>
        <v>0</v>
      </c>
      <c r="AR69" s="158">
        <f t="shared" ca="1" si="36"/>
        <v>37.536100721154071</v>
      </c>
      <c r="AS69" s="170"/>
      <c r="AT69" s="202"/>
      <c r="AU69" s="159">
        <f>COLUMN($Z$16)</f>
        <v>26</v>
      </c>
    </row>
    <row r="70" spans="1:47" x14ac:dyDescent="0.6">
      <c r="A70" s="171" t="str">
        <f t="shared" ca="1" si="1"/>
        <v>Mai 2029</v>
      </c>
      <c r="B70" s="191">
        <v>0</v>
      </c>
      <c r="C70" s="269">
        <f t="shared" ca="1" si="22"/>
        <v>5.4899999999999997E-2</v>
      </c>
      <c r="D70" s="173" t="str">
        <f t="shared" ca="1" si="23"/>
        <v/>
      </c>
      <c r="E70" s="174" t="str">
        <f t="shared" ca="1" si="24"/>
        <v/>
      </c>
      <c r="F70" s="175">
        <f t="shared" ca="1" si="25"/>
        <v>49</v>
      </c>
      <c r="G70" s="10">
        <v>53</v>
      </c>
      <c r="H70" s="176">
        <f t="shared" ca="1" si="26"/>
        <v>260</v>
      </c>
      <c r="I70" s="12">
        <f t="shared" ca="1" si="27"/>
        <v>17963.998366987187</v>
      </c>
      <c r="J70" s="12">
        <f t="shared" ca="1" si="2"/>
        <v>9759.3861875000384</v>
      </c>
      <c r="K70" s="177">
        <f t="shared" ca="1" si="3"/>
        <v>8204.6121794871488</v>
      </c>
      <c r="L70" s="177">
        <f t="shared" ca="1" si="4"/>
        <v>2124994.5544871883</v>
      </c>
      <c r="M70" s="11">
        <f t="shared" ca="1" si="5"/>
        <v>-3.637978807091713E-11</v>
      </c>
      <c r="N70" s="12">
        <f ca="1">IF(Y70=0, 0, ROUND(SUM(Y$17:Y70)-SUM(J$17:J70),0))</f>
        <v>0</v>
      </c>
      <c r="O70" s="12" t="str">
        <f t="shared" ca="1" si="6"/>
        <v/>
      </c>
      <c r="P70" s="12">
        <f t="shared" ca="1" si="7"/>
        <v>2870000</v>
      </c>
      <c r="Q70" s="178">
        <f t="shared" ca="1" si="38"/>
        <v>5000000</v>
      </c>
      <c r="R70" s="178">
        <f t="shared" ca="1" si="38"/>
        <v>0</v>
      </c>
      <c r="S70" s="178">
        <f t="shared" ca="1" si="38"/>
        <v>358488</v>
      </c>
      <c r="T70" s="178">
        <f t="shared" ca="1" si="38"/>
        <v>628000</v>
      </c>
      <c r="U70" s="179" t="str">
        <f t="shared" ca="1" si="9"/>
        <v/>
      </c>
      <c r="V70" s="180">
        <f t="shared" ca="1" si="0"/>
        <v>3.96</v>
      </c>
      <c r="W70" s="181">
        <f t="shared" ca="1" si="28"/>
        <v>260</v>
      </c>
      <c r="X70" s="177">
        <f t="shared" ca="1" si="10"/>
        <v>17963.99836698718</v>
      </c>
      <c r="Y70" s="12">
        <f t="shared" ca="1" si="11"/>
        <v>9759.3861875000021</v>
      </c>
      <c r="Z70" s="182">
        <f t="shared" ca="1" si="12"/>
        <v>2124994.5544871795</v>
      </c>
      <c r="AA70" s="271">
        <f t="shared" ca="1" si="29"/>
        <v>0.22</v>
      </c>
      <c r="AB70" s="12">
        <f t="shared" ca="1" si="13"/>
        <v>15855.153405737179</v>
      </c>
      <c r="AC70" s="12">
        <f t="shared" ca="1" si="14"/>
        <v>15855.153405737179</v>
      </c>
      <c r="AD70" s="199"/>
      <c r="AE70" s="273">
        <f t="shared" ca="1" si="15"/>
        <v>1.6821425527395739E-3</v>
      </c>
      <c r="AF70" s="184">
        <f t="shared" ca="1" si="16"/>
        <v>0.91617758313874964</v>
      </c>
      <c r="AG70" s="12">
        <f t="shared" ca="1" si="17"/>
        <v>14526.136127562404</v>
      </c>
      <c r="AH70" s="12">
        <f t="shared" ca="1" si="18"/>
        <v>14526.136127562404</v>
      </c>
      <c r="AI70" s="185">
        <f t="shared" ca="1" si="19"/>
        <v>49</v>
      </c>
      <c r="AJ70" s="177">
        <f t="shared" ca="1" si="20"/>
        <v>49</v>
      </c>
      <c r="AK70" s="12">
        <f t="shared" ca="1" si="21"/>
        <v>-18012.998366987187</v>
      </c>
      <c r="AL70" s="185">
        <f t="shared" ca="1" si="30"/>
        <v>17963.998366987187</v>
      </c>
      <c r="AM70" s="177">
        <f t="shared" ca="1" si="31"/>
        <v>18001.534467708341</v>
      </c>
      <c r="AN70" s="177">
        <f t="shared" ca="1" si="32"/>
        <v>14046.3286504771</v>
      </c>
      <c r="AO70" s="196">
        <f t="shared" ca="1" si="33"/>
        <v>260</v>
      </c>
      <c r="AP70" s="196">
        <f t="shared" ca="1" si="34"/>
        <v>172</v>
      </c>
      <c r="AQ70" s="177">
        <f t="shared" ca="1" si="35"/>
        <v>0</v>
      </c>
      <c r="AR70" s="177">
        <f t="shared" ca="1" si="36"/>
        <v>37.536100721154071</v>
      </c>
      <c r="AS70" s="189"/>
      <c r="AT70" s="190"/>
      <c r="AU70" s="190" t="str">
        <f ca="1">"Kolonnenr i tabell for " &amp; SUBSTITUTE(ADDRESS(1, t2kFradragPst, 4),"1","") &amp; " - """ &amp; INDIRECT(ADDRESS(t2rTLn1-3, t2kFradragPst)) &amp; """: t2kFradragPst"</f>
        <v>Kolonnenr i tabell for AA - "Skattefradrag, prosentsats pr år ": t2kFradragPst</v>
      </c>
    </row>
    <row r="71" spans="1:47" x14ac:dyDescent="0.6">
      <c r="A71" s="152" t="str">
        <f t="shared" ca="1" si="1"/>
        <v>Juni 2029</v>
      </c>
      <c r="B71" s="191">
        <v>0</v>
      </c>
      <c r="C71" s="270">
        <f t="shared" ca="1" si="22"/>
        <v>5.4899999999999997E-2</v>
      </c>
      <c r="D71" s="192" t="str">
        <f t="shared" ca="1" si="23"/>
        <v/>
      </c>
      <c r="E71" s="193" t="str">
        <f t="shared" ca="1" si="24"/>
        <v/>
      </c>
      <c r="F71" s="194">
        <f t="shared" ca="1" si="25"/>
        <v>49</v>
      </c>
      <c r="G71" s="14">
        <v>54</v>
      </c>
      <c r="H71" s="157">
        <f t="shared" ca="1" si="26"/>
        <v>259</v>
      </c>
      <c r="I71" s="16">
        <f t="shared" ca="1" si="27"/>
        <v>17926.462266266033</v>
      </c>
      <c r="J71" s="16">
        <f t="shared" ca="1" si="2"/>
        <v>9721.8500867788862</v>
      </c>
      <c r="K71" s="158">
        <f t="shared" ca="1" si="3"/>
        <v>8204.6121794871469</v>
      </c>
      <c r="L71" s="158">
        <f t="shared" ca="1" si="4"/>
        <v>2116789.9423077013</v>
      </c>
      <c r="M71" s="15">
        <f t="shared" ca="1" si="5"/>
        <v>-4.0017766878008842E-11</v>
      </c>
      <c r="N71" s="16">
        <f ca="1">IF(Y71=0, 0, ROUND(SUM(Y$17:Y71)-SUM(J$17:J71),0))</f>
        <v>0</v>
      </c>
      <c r="O71" s="16" t="str">
        <f t="shared" ca="1" si="6"/>
        <v/>
      </c>
      <c r="P71" s="16">
        <f t="shared" ca="1" si="7"/>
        <v>2880000</v>
      </c>
      <c r="Q71" s="160">
        <f t="shared" ca="1" si="38"/>
        <v>5000000</v>
      </c>
      <c r="R71" s="160">
        <f t="shared" ca="1" si="38"/>
        <v>0</v>
      </c>
      <c r="S71" s="160">
        <f t="shared" ca="1" si="38"/>
        <v>358488</v>
      </c>
      <c r="T71" s="160">
        <f t="shared" ca="1" si="38"/>
        <v>628000</v>
      </c>
      <c r="U71" s="161" t="str">
        <f t="shared" ca="1" si="9"/>
        <v/>
      </c>
      <c r="V71" s="162">
        <f t="shared" ca="1" si="0"/>
        <v>3.9499999999999997</v>
      </c>
      <c r="W71" s="195">
        <f t="shared" ca="1" si="28"/>
        <v>259</v>
      </c>
      <c r="X71" s="158">
        <f t="shared" ca="1" si="10"/>
        <v>17926.462266266026</v>
      </c>
      <c r="Y71" s="16">
        <f t="shared" ca="1" si="11"/>
        <v>9721.8500867788462</v>
      </c>
      <c r="Z71" s="164">
        <f t="shared" ca="1" si="12"/>
        <v>2116789.9423076925</v>
      </c>
      <c r="AA71" s="272">
        <f t="shared" ca="1" si="29"/>
        <v>0.22</v>
      </c>
      <c r="AB71" s="16">
        <f t="shared" ca="1" si="13"/>
        <v>15825.875247174677</v>
      </c>
      <c r="AC71" s="16">
        <f t="shared" ca="1" si="14"/>
        <v>15825.875247174681</v>
      </c>
      <c r="AD71" s="197"/>
      <c r="AE71" s="274">
        <f t="shared" ca="1" si="15"/>
        <v>1.6821425527395739E-3</v>
      </c>
      <c r="AF71" s="166">
        <f t="shared" ca="1" si="16"/>
        <v>0.91463644184028581</v>
      </c>
      <c r="AG71" s="16">
        <f t="shared" ca="1" si="17"/>
        <v>14474.922225084101</v>
      </c>
      <c r="AH71" s="16">
        <f t="shared" ca="1" si="18"/>
        <v>14474.922225084105</v>
      </c>
      <c r="AI71" s="168">
        <f t="shared" ca="1" si="19"/>
        <v>49</v>
      </c>
      <c r="AJ71" s="158">
        <f t="shared" ca="1" si="20"/>
        <v>49</v>
      </c>
      <c r="AK71" s="16">
        <f t="shared" ca="1" si="21"/>
        <v>-17975.462266266033</v>
      </c>
      <c r="AL71" s="168">
        <f t="shared" ca="1" si="30"/>
        <v>17926.462266266033</v>
      </c>
      <c r="AM71" s="158">
        <f t="shared" ca="1" si="31"/>
        <v>17963.998366987187</v>
      </c>
      <c r="AN71" s="158">
        <f t="shared" ca="1" si="32"/>
        <v>14020.480296676275</v>
      </c>
      <c r="AO71" s="169">
        <f t="shared" ca="1" si="33"/>
        <v>259</v>
      </c>
      <c r="AP71" s="169">
        <f t="shared" ca="1" si="34"/>
        <v>171</v>
      </c>
      <c r="AQ71" s="158">
        <f t="shared" ca="1" si="35"/>
        <v>0</v>
      </c>
      <c r="AR71" s="158">
        <f t="shared" ca="1" si="36"/>
        <v>37.536100721154071</v>
      </c>
      <c r="AS71" s="170"/>
      <c r="AT71" s="159"/>
      <c r="AU71" s="159">
        <f>COLUMN($AA$16)</f>
        <v>27</v>
      </c>
    </row>
    <row r="72" spans="1:47" x14ac:dyDescent="0.6">
      <c r="A72" s="171" t="str">
        <f t="shared" ca="1" si="1"/>
        <v>Juli 2029</v>
      </c>
      <c r="B72" s="191">
        <v>0</v>
      </c>
      <c r="C72" s="269">
        <f t="shared" ca="1" si="22"/>
        <v>5.4899999999999997E-2</v>
      </c>
      <c r="D72" s="173" t="str">
        <f t="shared" ca="1" si="23"/>
        <v/>
      </c>
      <c r="E72" s="174" t="str">
        <f t="shared" ca="1" si="24"/>
        <v/>
      </c>
      <c r="F72" s="175">
        <f t="shared" ca="1" si="25"/>
        <v>49</v>
      </c>
      <c r="G72" s="10">
        <v>55</v>
      </c>
      <c r="H72" s="176">
        <f t="shared" ca="1" si="26"/>
        <v>258</v>
      </c>
      <c r="I72" s="12">
        <f t="shared" ca="1" si="27"/>
        <v>17888.926165544879</v>
      </c>
      <c r="J72" s="12">
        <f t="shared" ca="1" si="2"/>
        <v>9684.3139860577339</v>
      </c>
      <c r="K72" s="177">
        <f t="shared" ca="1" si="3"/>
        <v>8204.6121794871451</v>
      </c>
      <c r="L72" s="177">
        <f t="shared" ca="1" si="4"/>
        <v>2108585.3301282143</v>
      </c>
      <c r="M72" s="11">
        <f t="shared" ca="1" si="5"/>
        <v>-4.1836756281554699E-11</v>
      </c>
      <c r="N72" s="12">
        <f ca="1">IF(Y72=0, 0, ROUND(SUM(Y$17:Y72)-SUM(J$17:J72),0))</f>
        <v>0</v>
      </c>
      <c r="O72" s="12" t="str">
        <f t="shared" ca="1" si="6"/>
        <v/>
      </c>
      <c r="P72" s="12">
        <f t="shared" ca="1" si="7"/>
        <v>2890000</v>
      </c>
      <c r="Q72" s="178">
        <f t="shared" ca="1" si="38"/>
        <v>5000000</v>
      </c>
      <c r="R72" s="178">
        <f t="shared" ca="1" si="38"/>
        <v>0</v>
      </c>
      <c r="S72" s="178">
        <f t="shared" ca="1" si="38"/>
        <v>358488</v>
      </c>
      <c r="T72" s="178">
        <f t="shared" ca="1" si="38"/>
        <v>628000</v>
      </c>
      <c r="U72" s="179" t="str">
        <f t="shared" ca="1" si="9"/>
        <v/>
      </c>
      <c r="V72" s="180">
        <f t="shared" ca="1" si="0"/>
        <v>3.9299999999999997</v>
      </c>
      <c r="W72" s="181">
        <f t="shared" ca="1" si="28"/>
        <v>258</v>
      </c>
      <c r="X72" s="177">
        <f t="shared" ca="1" si="10"/>
        <v>17888.926165544872</v>
      </c>
      <c r="Y72" s="12">
        <f t="shared" ca="1" si="11"/>
        <v>9684.3139860576921</v>
      </c>
      <c r="Z72" s="182">
        <f t="shared" ca="1" si="12"/>
        <v>2108585.3301282055</v>
      </c>
      <c r="AA72" s="271">
        <f t="shared" ca="1" si="29"/>
        <v>0.22</v>
      </c>
      <c r="AB72" s="12">
        <f t="shared" ca="1" si="13"/>
        <v>15796.597088612178</v>
      </c>
      <c r="AC72" s="12">
        <f t="shared" ca="1" si="14"/>
        <v>15796.59708861218</v>
      </c>
      <c r="AD72" s="199"/>
      <c r="AE72" s="273">
        <f t="shared" ca="1" si="15"/>
        <v>1.6821425527395739E-3</v>
      </c>
      <c r="AF72" s="184">
        <f t="shared" ca="1" si="16"/>
        <v>0.91309789296117994</v>
      </c>
      <c r="AG72" s="12">
        <f t="shared" ca="1" si="17"/>
        <v>14423.839517568489</v>
      </c>
      <c r="AH72" s="12">
        <f t="shared" ca="1" si="18"/>
        <v>14423.839517568491</v>
      </c>
      <c r="AI72" s="185">
        <f t="shared" ca="1" si="19"/>
        <v>49</v>
      </c>
      <c r="AJ72" s="177">
        <f t="shared" ca="1" si="20"/>
        <v>49</v>
      </c>
      <c r="AK72" s="12">
        <f t="shared" ca="1" si="21"/>
        <v>-17937.926165544879</v>
      </c>
      <c r="AL72" s="185">
        <f t="shared" ca="1" si="30"/>
        <v>17888.926165544879</v>
      </c>
      <c r="AM72" s="177">
        <f t="shared" ca="1" si="31"/>
        <v>17926.462266266033</v>
      </c>
      <c r="AN72" s="177">
        <f t="shared" ca="1" si="32"/>
        <v>13994.656819289969</v>
      </c>
      <c r="AO72" s="196">
        <f t="shared" ca="1" si="33"/>
        <v>258</v>
      </c>
      <c r="AP72" s="196">
        <f t="shared" ca="1" si="34"/>
        <v>171</v>
      </c>
      <c r="AQ72" s="177">
        <f t="shared" ca="1" si="35"/>
        <v>0</v>
      </c>
      <c r="AR72" s="177">
        <f t="shared" ca="1" si="36"/>
        <v>37.536100721154071</v>
      </c>
      <c r="AS72" s="189"/>
      <c r="AT72" s="190"/>
      <c r="AU72" s="190" t="str">
        <f ca="1">"Kolonnenr i tabell for " &amp; SUBSTITUTE(ADDRESS(1, t2kKost1EtterEvtFradrag, 4),"1","") &amp; " - """ &amp; INDIRECT(ADDRESS(t2rTLn1-3, t2kKost1EtterEvtFradrag)) &amp; """: t2kKost1EtterEvtFradrag"</f>
        <v>Kolonnenr i tabell for AB - "Kost m/tnb etter eventuelt fradrag": t2kKost1EtterEvtFradrag</v>
      </c>
    </row>
    <row r="73" spans="1:47" x14ac:dyDescent="0.6">
      <c r="A73" s="152" t="str">
        <f t="shared" ca="1" si="1"/>
        <v>August 2029</v>
      </c>
      <c r="B73" s="191">
        <v>0</v>
      </c>
      <c r="C73" s="270">
        <f t="shared" ca="1" si="22"/>
        <v>5.4899999999999997E-2</v>
      </c>
      <c r="D73" s="192" t="str">
        <f t="shared" ca="1" si="23"/>
        <v/>
      </c>
      <c r="E73" s="193" t="str">
        <f t="shared" ca="1" si="24"/>
        <v/>
      </c>
      <c r="F73" s="194">
        <f t="shared" ca="1" si="25"/>
        <v>49</v>
      </c>
      <c r="G73" s="14">
        <v>56</v>
      </c>
      <c r="H73" s="157">
        <f t="shared" ca="1" si="26"/>
        <v>257</v>
      </c>
      <c r="I73" s="16">
        <f t="shared" ca="1" si="27"/>
        <v>17851.390064823725</v>
      </c>
      <c r="J73" s="16">
        <f t="shared" ca="1" si="2"/>
        <v>9646.7778853365799</v>
      </c>
      <c r="K73" s="158">
        <f t="shared" ca="1" si="3"/>
        <v>8204.6121794871451</v>
      </c>
      <c r="L73" s="158">
        <f t="shared" ca="1" si="4"/>
        <v>2100380.7179487273</v>
      </c>
      <c r="M73" s="15">
        <f t="shared" ca="1" si="5"/>
        <v>-4.0017766878008842E-11</v>
      </c>
      <c r="N73" s="16">
        <f ca="1">IF(Y73=0, 0, ROUND(SUM(Y$17:Y73)-SUM(J$17:J73),0))</f>
        <v>0</v>
      </c>
      <c r="O73" s="16" t="str">
        <f t="shared" ca="1" si="6"/>
        <v/>
      </c>
      <c r="P73" s="16" t="str">
        <f t="shared" ca="1" si="7"/>
        <v/>
      </c>
      <c r="Q73" s="160">
        <f t="shared" ca="1" si="38"/>
        <v>5000000</v>
      </c>
      <c r="R73" s="160">
        <f t="shared" ca="1" si="38"/>
        <v>0</v>
      </c>
      <c r="S73" s="160">
        <f t="shared" ca="1" si="38"/>
        <v>358488</v>
      </c>
      <c r="T73" s="160">
        <f t="shared" ca="1" si="38"/>
        <v>628000</v>
      </c>
      <c r="U73" s="161" t="str">
        <f t="shared" ca="1" si="9"/>
        <v/>
      </c>
      <c r="V73" s="162">
        <f t="shared" ca="1" si="0"/>
        <v>3.92</v>
      </c>
      <c r="W73" s="195">
        <f t="shared" ca="1" si="28"/>
        <v>257</v>
      </c>
      <c r="X73" s="158">
        <f t="shared" ca="1" si="10"/>
        <v>17851.390064823718</v>
      </c>
      <c r="Y73" s="16">
        <f t="shared" ca="1" si="11"/>
        <v>9646.7778853365398</v>
      </c>
      <c r="Z73" s="164">
        <f t="shared" ca="1" si="12"/>
        <v>2100380.717948718</v>
      </c>
      <c r="AA73" s="272">
        <f t="shared" ca="1" si="29"/>
        <v>0.22</v>
      </c>
      <c r="AB73" s="16">
        <f t="shared" ca="1" si="13"/>
        <v>15767.318930049678</v>
      </c>
      <c r="AC73" s="16">
        <f t="shared" ca="1" si="14"/>
        <v>15767.318930049678</v>
      </c>
      <c r="AD73" s="197"/>
      <c r="AE73" s="274">
        <f t="shared" ca="1" si="15"/>
        <v>1.6821425527395739E-3</v>
      </c>
      <c r="AF73" s="166">
        <f t="shared" ca="1" si="16"/>
        <v>0.9115619321406131</v>
      </c>
      <c r="AG73" s="16">
        <f t="shared" ca="1" si="17"/>
        <v>14372.88770855335</v>
      </c>
      <c r="AH73" s="16">
        <f t="shared" ca="1" si="18"/>
        <v>14372.88770855335</v>
      </c>
      <c r="AI73" s="168">
        <f t="shared" ca="1" si="19"/>
        <v>49</v>
      </c>
      <c r="AJ73" s="158">
        <f t="shared" ca="1" si="20"/>
        <v>49</v>
      </c>
      <c r="AK73" s="16">
        <f t="shared" ca="1" si="21"/>
        <v>-17900.390064823725</v>
      </c>
      <c r="AL73" s="168">
        <f t="shared" ca="1" si="30"/>
        <v>17851.390064823725</v>
      </c>
      <c r="AM73" s="158">
        <f t="shared" ca="1" si="31"/>
        <v>17888.926165544879</v>
      </c>
      <c r="AN73" s="158">
        <f t="shared" ca="1" si="32"/>
        <v>13968.858244441588</v>
      </c>
      <c r="AO73" s="169">
        <f t="shared" ca="1" si="33"/>
        <v>257</v>
      </c>
      <c r="AP73" s="169">
        <f t="shared" ca="1" si="34"/>
        <v>170</v>
      </c>
      <c r="AQ73" s="158">
        <f t="shared" ca="1" si="35"/>
        <v>0</v>
      </c>
      <c r="AR73" s="158">
        <f t="shared" ca="1" si="36"/>
        <v>37.536100721154071</v>
      </c>
      <c r="AS73" s="170"/>
      <c r="AT73" s="159"/>
      <c r="AU73" s="159">
        <f>COLUMN($AB$16)</f>
        <v>28</v>
      </c>
    </row>
    <row r="74" spans="1:47" x14ac:dyDescent="0.6">
      <c r="A74" s="171" t="str">
        <f t="shared" ca="1" si="1"/>
        <v>September 2029</v>
      </c>
      <c r="B74" s="191">
        <v>0</v>
      </c>
      <c r="C74" s="269">
        <f t="shared" ca="1" si="22"/>
        <v>5.4899999999999997E-2</v>
      </c>
      <c r="D74" s="173" t="str">
        <f t="shared" ca="1" si="23"/>
        <v/>
      </c>
      <c r="E74" s="174" t="str">
        <f t="shared" ca="1" si="24"/>
        <v/>
      </c>
      <c r="F74" s="175">
        <f t="shared" ca="1" si="25"/>
        <v>49</v>
      </c>
      <c r="G74" s="10">
        <v>57</v>
      </c>
      <c r="H74" s="176">
        <f t="shared" ca="1" si="26"/>
        <v>256</v>
      </c>
      <c r="I74" s="12">
        <f t="shared" ca="1" si="27"/>
        <v>17813.853964102571</v>
      </c>
      <c r="J74" s="12">
        <f t="shared" ca="1" si="2"/>
        <v>9609.2417846154258</v>
      </c>
      <c r="K74" s="177">
        <f t="shared" ca="1" si="3"/>
        <v>8204.6121794871451</v>
      </c>
      <c r="L74" s="177">
        <f t="shared" ca="1" si="4"/>
        <v>2092176.1057692401</v>
      </c>
      <c r="M74" s="11">
        <f t="shared" ca="1" si="5"/>
        <v>-4.1836756281554699E-11</v>
      </c>
      <c r="N74" s="12">
        <f ca="1">IF(Y74=0, 0, ROUND(SUM(Y$17:Y74)-SUM(J$17:J74),0))</f>
        <v>0</v>
      </c>
      <c r="O74" s="12" t="str">
        <f t="shared" ca="1" si="6"/>
        <v/>
      </c>
      <c r="P74" s="12">
        <f t="shared" ca="1" si="7"/>
        <v>2900000</v>
      </c>
      <c r="Q74" s="178">
        <f t="shared" ca="1" si="38"/>
        <v>5000000</v>
      </c>
      <c r="R74" s="178">
        <f t="shared" ca="1" si="38"/>
        <v>0</v>
      </c>
      <c r="S74" s="178">
        <f t="shared" ca="1" si="38"/>
        <v>358488</v>
      </c>
      <c r="T74" s="178">
        <f t="shared" ca="1" si="38"/>
        <v>628000</v>
      </c>
      <c r="U74" s="179" t="str">
        <f t="shared" ca="1" si="9"/>
        <v/>
      </c>
      <c r="V74" s="180">
        <f t="shared" ca="1" si="0"/>
        <v>3.9099999999999997</v>
      </c>
      <c r="W74" s="181">
        <f t="shared" ca="1" si="28"/>
        <v>256</v>
      </c>
      <c r="X74" s="177">
        <f t="shared" ca="1" si="10"/>
        <v>17813.853964102564</v>
      </c>
      <c r="Y74" s="12">
        <f t="shared" ca="1" si="11"/>
        <v>9609.2417846153839</v>
      </c>
      <c r="Z74" s="182">
        <f t="shared" ca="1" si="12"/>
        <v>2092176.105769231</v>
      </c>
      <c r="AA74" s="271">
        <f t="shared" ca="1" si="29"/>
        <v>0.22</v>
      </c>
      <c r="AB74" s="12">
        <f t="shared" ca="1" si="13"/>
        <v>15738.040771487176</v>
      </c>
      <c r="AC74" s="12">
        <f t="shared" ca="1" si="14"/>
        <v>15738.04077148718</v>
      </c>
      <c r="AD74" s="199"/>
      <c r="AE74" s="273">
        <f t="shared" ca="1" si="15"/>
        <v>1.6821425527395739E-3</v>
      </c>
      <c r="AF74" s="184">
        <f t="shared" ca="1" si="16"/>
        <v>0.91002855502510183</v>
      </c>
      <c r="AG74" s="12">
        <f t="shared" ca="1" si="17"/>
        <v>14322.066502202613</v>
      </c>
      <c r="AH74" s="12">
        <f t="shared" ca="1" si="18"/>
        <v>14322.066502202617</v>
      </c>
      <c r="AI74" s="185">
        <f t="shared" ca="1" si="19"/>
        <v>49</v>
      </c>
      <c r="AJ74" s="177">
        <f t="shared" ca="1" si="20"/>
        <v>49</v>
      </c>
      <c r="AK74" s="12">
        <f t="shared" ca="1" si="21"/>
        <v>-17862.853964102571</v>
      </c>
      <c r="AL74" s="185">
        <f t="shared" ca="1" si="30"/>
        <v>17813.853964102571</v>
      </c>
      <c r="AM74" s="177">
        <f t="shared" ca="1" si="31"/>
        <v>17851.390064823725</v>
      </c>
      <c r="AN74" s="177">
        <f t="shared" ca="1" si="32"/>
        <v>13943.084598185875</v>
      </c>
      <c r="AO74" s="196">
        <f t="shared" ca="1" si="33"/>
        <v>256</v>
      </c>
      <c r="AP74" s="196">
        <f t="shared" ca="1" si="34"/>
        <v>170</v>
      </c>
      <c r="AQ74" s="177">
        <f t="shared" ca="1" si="35"/>
        <v>0</v>
      </c>
      <c r="AR74" s="177">
        <f t="shared" ca="1" si="36"/>
        <v>37.536100721154071</v>
      </c>
      <c r="AS74" s="189"/>
      <c r="AT74" s="190"/>
      <c r="AU74" s="190" t="str">
        <f ca="1">"Kolonnenr i tabell for " &amp; SUBSTITUTE(ADDRESS(1, t2kKost2EtterEvtFradrag, 4),"1","") &amp; " - """ &amp; INDIRECT(ADDRESS(t2rTLn1-3, t2kKost2EtterEvtFradrag)) &amp; """: t2kKost2EtterEvtFradrag"</f>
        <v>Kolonnenr i tabell for AC - "Kost u/tnb etter eventuelt fradrag": t2kKost2EtterEvtFradrag</v>
      </c>
    </row>
    <row r="75" spans="1:47" x14ac:dyDescent="0.6">
      <c r="A75" s="152" t="str">
        <f t="shared" ca="1" si="1"/>
        <v>Oktober 2029</v>
      </c>
      <c r="B75" s="191">
        <v>0</v>
      </c>
      <c r="C75" s="270">
        <f t="shared" ca="1" si="22"/>
        <v>5.4899999999999997E-2</v>
      </c>
      <c r="D75" s="192" t="str">
        <f t="shared" ca="1" si="23"/>
        <v/>
      </c>
      <c r="E75" s="193" t="str">
        <f t="shared" ca="1" si="24"/>
        <v/>
      </c>
      <c r="F75" s="194">
        <f t="shared" ca="1" si="25"/>
        <v>49</v>
      </c>
      <c r="G75" s="14">
        <v>58</v>
      </c>
      <c r="H75" s="157">
        <f t="shared" ca="1" si="26"/>
        <v>255</v>
      </c>
      <c r="I75" s="16">
        <f t="shared" ca="1" si="27"/>
        <v>17776.317863381417</v>
      </c>
      <c r="J75" s="16">
        <f t="shared" ca="1" si="2"/>
        <v>9571.7056838942717</v>
      </c>
      <c r="K75" s="158">
        <f t="shared" ca="1" si="3"/>
        <v>8204.6121794871451</v>
      </c>
      <c r="L75" s="158">
        <f t="shared" ca="1" si="4"/>
        <v>2083971.4935897528</v>
      </c>
      <c r="M75" s="15">
        <f t="shared" ca="1" si="5"/>
        <v>-4.0017766878008842E-11</v>
      </c>
      <c r="N75" s="16">
        <f ca="1">IF(Y75=0, 0, ROUND(SUM(Y$17:Y75)-SUM(J$17:J75),0))</f>
        <v>0</v>
      </c>
      <c r="O75" s="16" t="str">
        <f t="shared" ca="1" si="6"/>
        <v/>
      </c>
      <c r="P75" s="16">
        <f t="shared" ca="1" si="7"/>
        <v>2910000</v>
      </c>
      <c r="Q75" s="160">
        <f t="shared" ca="1" si="38"/>
        <v>5000000</v>
      </c>
      <c r="R75" s="160">
        <f t="shared" ca="1" si="38"/>
        <v>0</v>
      </c>
      <c r="S75" s="160">
        <f t="shared" ca="1" si="38"/>
        <v>358488</v>
      </c>
      <c r="T75" s="160">
        <f t="shared" ca="1" si="38"/>
        <v>628000</v>
      </c>
      <c r="U75" s="161" t="str">
        <f t="shared" ca="1" si="9"/>
        <v/>
      </c>
      <c r="V75" s="162">
        <f t="shared" ca="1" si="0"/>
        <v>3.8899999999999997</v>
      </c>
      <c r="W75" s="195">
        <f t="shared" ca="1" si="28"/>
        <v>255</v>
      </c>
      <c r="X75" s="158">
        <f t="shared" ca="1" si="10"/>
        <v>17776.31786338141</v>
      </c>
      <c r="Y75" s="16">
        <f t="shared" ca="1" si="11"/>
        <v>9571.7056838942317</v>
      </c>
      <c r="Z75" s="164">
        <f t="shared" ca="1" si="12"/>
        <v>2083971.493589744</v>
      </c>
      <c r="AA75" s="272">
        <f t="shared" ca="1" si="29"/>
        <v>0.22</v>
      </c>
      <c r="AB75" s="16">
        <f t="shared" ca="1" si="13"/>
        <v>15708.762612924678</v>
      </c>
      <c r="AC75" s="16">
        <f t="shared" ca="1" si="14"/>
        <v>15708.762612924678</v>
      </c>
      <c r="AD75" s="197"/>
      <c r="AE75" s="274">
        <f t="shared" ca="1" si="15"/>
        <v>1.6821425527395739E-3</v>
      </c>
      <c r="AF75" s="166">
        <f t="shared" ca="1" si="16"/>
        <v>0.90849775726848603</v>
      </c>
      <c r="AG75" s="16">
        <f t="shared" ca="1" si="17"/>
        <v>14271.375603305112</v>
      </c>
      <c r="AH75" s="16">
        <f t="shared" ca="1" si="18"/>
        <v>14271.375603305112</v>
      </c>
      <c r="AI75" s="168">
        <f t="shared" ca="1" si="19"/>
        <v>49</v>
      </c>
      <c r="AJ75" s="158">
        <f t="shared" ca="1" si="20"/>
        <v>49</v>
      </c>
      <c r="AK75" s="16">
        <f t="shared" ca="1" si="21"/>
        <v>-17825.317863381417</v>
      </c>
      <c r="AL75" s="168">
        <f t="shared" ca="1" si="30"/>
        <v>17776.317863381417</v>
      </c>
      <c r="AM75" s="158">
        <f t="shared" ca="1" si="31"/>
        <v>17813.853964102571</v>
      </c>
      <c r="AN75" s="158">
        <f t="shared" ca="1" si="32"/>
        <v>13917.335906508566</v>
      </c>
      <c r="AO75" s="169">
        <f t="shared" ca="1" si="33"/>
        <v>255</v>
      </c>
      <c r="AP75" s="169">
        <f t="shared" ca="1" si="34"/>
        <v>169</v>
      </c>
      <c r="AQ75" s="158">
        <f t="shared" ca="1" si="35"/>
        <v>0</v>
      </c>
      <c r="AR75" s="158">
        <f t="shared" ca="1" si="36"/>
        <v>37.536100721154071</v>
      </c>
      <c r="AS75" s="170"/>
      <c r="AT75" s="159"/>
      <c r="AU75" s="159">
        <f>COLUMN($AC$16)</f>
        <v>29</v>
      </c>
    </row>
    <row r="76" spans="1:47" x14ac:dyDescent="0.6">
      <c r="A76" s="171" t="str">
        <f t="shared" ca="1" si="1"/>
        <v>November 2029</v>
      </c>
      <c r="B76" s="191">
        <v>0</v>
      </c>
      <c r="C76" s="269">
        <f t="shared" ca="1" si="22"/>
        <v>5.4899999999999997E-2</v>
      </c>
      <c r="D76" s="173" t="str">
        <f t="shared" ca="1" si="23"/>
        <v/>
      </c>
      <c r="E76" s="174" t="str">
        <f t="shared" ca="1" si="24"/>
        <v/>
      </c>
      <c r="F76" s="175">
        <f t="shared" ca="1" si="25"/>
        <v>49</v>
      </c>
      <c r="G76" s="10">
        <v>59</v>
      </c>
      <c r="H76" s="176">
        <f t="shared" ca="1" si="26"/>
        <v>254</v>
      </c>
      <c r="I76" s="12">
        <f t="shared" ca="1" si="27"/>
        <v>17738.781762660263</v>
      </c>
      <c r="J76" s="12">
        <f t="shared" ca="1" si="2"/>
        <v>9534.1695831731176</v>
      </c>
      <c r="K76" s="177">
        <f t="shared" ca="1" si="3"/>
        <v>8204.6121794871451</v>
      </c>
      <c r="L76" s="177">
        <f t="shared" ca="1" si="4"/>
        <v>2075766.8814102656</v>
      </c>
      <c r="M76" s="11">
        <f t="shared" ca="1" si="5"/>
        <v>-4.0017766878008842E-11</v>
      </c>
      <c r="N76" s="12">
        <f ca="1">IF(Y76=0, 0, ROUND(SUM(Y$17:Y76)-SUM(J$17:J76),0))</f>
        <v>0</v>
      </c>
      <c r="O76" s="12" t="str">
        <f t="shared" ca="1" si="6"/>
        <v/>
      </c>
      <c r="P76" s="12">
        <f t="shared" ca="1" si="7"/>
        <v>2920000</v>
      </c>
      <c r="Q76" s="178">
        <f t="shared" ca="1" si="38"/>
        <v>5000000</v>
      </c>
      <c r="R76" s="178">
        <f t="shared" ca="1" si="38"/>
        <v>0</v>
      </c>
      <c r="S76" s="178">
        <f t="shared" ca="1" si="38"/>
        <v>358488</v>
      </c>
      <c r="T76" s="178">
        <f t="shared" ca="1" si="38"/>
        <v>628000</v>
      </c>
      <c r="U76" s="179" t="str">
        <f t="shared" ca="1" si="9"/>
        <v/>
      </c>
      <c r="V76" s="180">
        <f t="shared" ca="1" si="0"/>
        <v>3.88</v>
      </c>
      <c r="W76" s="181">
        <f t="shared" ca="1" si="28"/>
        <v>254</v>
      </c>
      <c r="X76" s="177">
        <f t="shared" ca="1" si="10"/>
        <v>17738.781762660255</v>
      </c>
      <c r="Y76" s="12">
        <f t="shared" ca="1" si="11"/>
        <v>9534.1695831730776</v>
      </c>
      <c r="Z76" s="182">
        <f t="shared" ca="1" si="12"/>
        <v>2075766.8814102567</v>
      </c>
      <c r="AA76" s="271">
        <f t="shared" ca="1" si="29"/>
        <v>0.22</v>
      </c>
      <c r="AB76" s="12">
        <f t="shared" ca="1" si="13"/>
        <v>15679.484454362177</v>
      </c>
      <c r="AC76" s="12">
        <f t="shared" ca="1" si="14"/>
        <v>15679.484454362178</v>
      </c>
      <c r="AD76" s="199"/>
      <c r="AE76" s="273">
        <f t="shared" ca="1" si="15"/>
        <v>1.6821425527395739E-3</v>
      </c>
      <c r="AF76" s="184">
        <f t="shared" ca="1" si="16"/>
        <v>0.9069695345319162</v>
      </c>
      <c r="AG76" s="12">
        <f t="shared" ca="1" si="17"/>
        <v>14220.814717273279</v>
      </c>
      <c r="AH76" s="12">
        <f t="shared" ca="1" si="18"/>
        <v>14220.814717273281</v>
      </c>
      <c r="AI76" s="185">
        <f t="shared" ca="1" si="19"/>
        <v>49</v>
      </c>
      <c r="AJ76" s="177">
        <f t="shared" ca="1" si="20"/>
        <v>49</v>
      </c>
      <c r="AK76" s="12">
        <f t="shared" ca="1" si="21"/>
        <v>-17787.781762660263</v>
      </c>
      <c r="AL76" s="185">
        <f t="shared" ca="1" si="30"/>
        <v>17738.781762660263</v>
      </c>
      <c r="AM76" s="177">
        <f t="shared" ca="1" si="31"/>
        <v>17776.317863381417</v>
      </c>
      <c r="AN76" s="177">
        <f t="shared" ca="1" si="32"/>
        <v>13891.612195326079</v>
      </c>
      <c r="AO76" s="196">
        <f t="shared" ca="1" si="33"/>
        <v>254</v>
      </c>
      <c r="AP76" s="196">
        <f t="shared" ca="1" si="34"/>
        <v>169</v>
      </c>
      <c r="AQ76" s="177">
        <f t="shared" ca="1" si="35"/>
        <v>0</v>
      </c>
      <c r="AR76" s="177">
        <f t="shared" ca="1" si="36"/>
        <v>37.536100721154071</v>
      </c>
      <c r="AS76" s="189"/>
      <c r="AT76" s="190"/>
      <c r="AU76" s="190" t="str">
        <f ca="1">"Kolonnenr i tabell for " &amp; SUBSTITUTE(ADDRESS(1, t2kKPI,4),"1","") &amp; " - """ &amp; INDIRECT(ADDRESS(t2rTLn1-3, t2kKPI)) &amp; """: t2kKPI"</f>
        <v>Kolonnenr i tabell for AD - "Inflasjonsjustering": t2kKPI</v>
      </c>
    </row>
    <row r="77" spans="1:47" x14ac:dyDescent="0.6">
      <c r="A77" s="152" t="str">
        <f t="shared" ca="1" si="1"/>
        <v>Desember 2029</v>
      </c>
      <c r="B77" s="191">
        <v>0</v>
      </c>
      <c r="C77" s="270">
        <f t="shared" ca="1" si="22"/>
        <v>5.4899999999999997E-2</v>
      </c>
      <c r="D77" s="192" t="str">
        <f t="shared" ca="1" si="23"/>
        <v/>
      </c>
      <c r="E77" s="193" t="str">
        <f t="shared" ca="1" si="24"/>
        <v/>
      </c>
      <c r="F77" s="194">
        <f t="shared" ca="1" si="25"/>
        <v>49</v>
      </c>
      <c r="G77" s="14">
        <v>60</v>
      </c>
      <c r="H77" s="157">
        <f t="shared" ca="1" si="26"/>
        <v>253</v>
      </c>
      <c r="I77" s="16">
        <f t="shared" ca="1" si="27"/>
        <v>17701.245661939109</v>
      </c>
      <c r="J77" s="16">
        <f t="shared" ca="1" si="2"/>
        <v>9496.6334824519636</v>
      </c>
      <c r="K77" s="158">
        <f t="shared" ca="1" si="3"/>
        <v>8204.6121794871451</v>
      </c>
      <c r="L77" s="158">
        <f t="shared" ca="1" si="4"/>
        <v>2067562.2692307783</v>
      </c>
      <c r="M77" s="15">
        <f t="shared" ca="1" si="5"/>
        <v>-4.0017766878008842E-11</v>
      </c>
      <c r="N77" s="16">
        <f ca="1">IF(Y77=0, 0, ROUND(SUM(Y$17:Y77)-SUM(J$17:J77),0))</f>
        <v>0</v>
      </c>
      <c r="O77" s="16" t="str">
        <f t="shared" ca="1" si="6"/>
        <v/>
      </c>
      <c r="P77" s="16">
        <f t="shared" ca="1" si="7"/>
        <v>2930000</v>
      </c>
      <c r="Q77" s="160">
        <f t="shared" ca="1" si="38"/>
        <v>5000000</v>
      </c>
      <c r="R77" s="160">
        <f t="shared" ca="1" si="38"/>
        <v>0</v>
      </c>
      <c r="S77" s="160">
        <f t="shared" ca="1" si="38"/>
        <v>358488</v>
      </c>
      <c r="T77" s="160">
        <f t="shared" ca="1" si="38"/>
        <v>628000</v>
      </c>
      <c r="U77" s="161" t="str">
        <f t="shared" ca="1" si="9"/>
        <v/>
      </c>
      <c r="V77" s="162">
        <f t="shared" ca="1" si="0"/>
        <v>3.8699999999999997</v>
      </c>
      <c r="W77" s="195">
        <f t="shared" ca="1" si="28"/>
        <v>253</v>
      </c>
      <c r="X77" s="158">
        <f t="shared" ca="1" si="10"/>
        <v>17701.245661939101</v>
      </c>
      <c r="Y77" s="16">
        <f t="shared" ca="1" si="11"/>
        <v>9496.6334824519236</v>
      </c>
      <c r="Z77" s="164">
        <f t="shared" ca="1" si="12"/>
        <v>2067562.2692307697</v>
      </c>
      <c r="AA77" s="272">
        <f t="shared" ca="1" si="29"/>
        <v>0.22</v>
      </c>
      <c r="AB77" s="16">
        <f t="shared" ca="1" si="13"/>
        <v>15650.206295799677</v>
      </c>
      <c r="AC77" s="16">
        <f t="shared" ca="1" si="14"/>
        <v>15650.206295799679</v>
      </c>
      <c r="AD77" s="197"/>
      <c r="AE77" s="274">
        <f t="shared" ca="1" si="15"/>
        <v>1.6821425527395739E-3</v>
      </c>
      <c r="AF77" s="166">
        <f t="shared" ca="1" si="16"/>
        <v>0.90544388248384167</v>
      </c>
      <c r="AG77" s="16">
        <f t="shared" ca="1" si="17"/>
        <v>14170.383550141922</v>
      </c>
      <c r="AH77" s="16">
        <f t="shared" ca="1" si="18"/>
        <v>14170.383550141923</v>
      </c>
      <c r="AI77" s="168">
        <f t="shared" ca="1" si="19"/>
        <v>49</v>
      </c>
      <c r="AJ77" s="158">
        <f t="shared" ca="1" si="20"/>
        <v>49</v>
      </c>
      <c r="AK77" s="16">
        <f t="shared" ca="1" si="21"/>
        <v>-17750.245661939109</v>
      </c>
      <c r="AL77" s="168">
        <f t="shared" ca="1" si="30"/>
        <v>17701.245661939109</v>
      </c>
      <c r="AM77" s="158">
        <f t="shared" ca="1" si="31"/>
        <v>17738.781762660263</v>
      </c>
      <c r="AN77" s="158">
        <f t="shared" ca="1" si="32"/>
        <v>13865.913490485174</v>
      </c>
      <c r="AO77" s="169">
        <f t="shared" ca="1" si="33"/>
        <v>253</v>
      </c>
      <c r="AP77" s="169">
        <f t="shared" ca="1" si="34"/>
        <v>168</v>
      </c>
      <c r="AQ77" s="158">
        <f t="shared" ca="1" si="35"/>
        <v>0</v>
      </c>
      <c r="AR77" s="158">
        <f t="shared" ca="1" si="36"/>
        <v>37.536100721154071</v>
      </c>
      <c r="AS77" s="170"/>
      <c r="AT77" s="159"/>
      <c r="AU77" s="159">
        <f>COLUMN($AD$16)</f>
        <v>30</v>
      </c>
    </row>
    <row r="78" spans="1:47" x14ac:dyDescent="0.6">
      <c r="A78" s="171" t="str">
        <f t="shared" ca="1" si="1"/>
        <v>Januar 2030</v>
      </c>
      <c r="B78" s="191">
        <v>0</v>
      </c>
      <c r="C78" s="269">
        <f t="shared" ca="1" si="22"/>
        <v>5.4899999999999997E-2</v>
      </c>
      <c r="D78" s="173" t="str">
        <f t="shared" ca="1" si="23"/>
        <v/>
      </c>
      <c r="E78" s="174" t="str">
        <f t="shared" ca="1" si="24"/>
        <v/>
      </c>
      <c r="F78" s="175">
        <f t="shared" ca="1" si="25"/>
        <v>49</v>
      </c>
      <c r="G78" s="10">
        <v>61</v>
      </c>
      <c r="H78" s="176">
        <f t="shared" ca="1" si="26"/>
        <v>252</v>
      </c>
      <c r="I78" s="12">
        <f t="shared" ca="1" si="27"/>
        <v>17663.709561217955</v>
      </c>
      <c r="J78" s="12">
        <f t="shared" ca="1" si="2"/>
        <v>9459.0973817308095</v>
      </c>
      <c r="K78" s="177">
        <f t="shared" ca="1" si="3"/>
        <v>8204.6121794871451</v>
      </c>
      <c r="L78" s="177">
        <f t="shared" ca="1" si="4"/>
        <v>2059357.6570512911</v>
      </c>
      <c r="M78" s="11">
        <f t="shared" ca="1" si="5"/>
        <v>-3.8198777474462986E-11</v>
      </c>
      <c r="N78" s="12">
        <f ca="1">IF(Y78=0, 0, ROUND(SUM(Y$17:Y78)-SUM(J$17:J78),0))</f>
        <v>0</v>
      </c>
      <c r="O78" s="12" t="str">
        <f t="shared" ca="1" si="6"/>
        <v/>
      </c>
      <c r="P78" s="12">
        <f t="shared" ca="1" si="7"/>
        <v>2940000</v>
      </c>
      <c r="Q78" s="178">
        <f t="shared" ref="Q78:T97" ca="1" si="39">OFFSET(Q78,-1,0,1,1)</f>
        <v>5000000</v>
      </c>
      <c r="R78" s="178">
        <f t="shared" ca="1" si="39"/>
        <v>0</v>
      </c>
      <c r="S78" s="178">
        <f t="shared" ca="1" si="39"/>
        <v>358488</v>
      </c>
      <c r="T78" s="178">
        <f t="shared" ca="1" si="39"/>
        <v>628000</v>
      </c>
      <c r="U78" s="179" t="str">
        <f t="shared" ca="1" si="9"/>
        <v/>
      </c>
      <c r="V78" s="180">
        <f t="shared" ca="1" si="0"/>
        <v>3.86</v>
      </c>
      <c r="W78" s="181">
        <f t="shared" ca="1" si="28"/>
        <v>252</v>
      </c>
      <c r="X78" s="177">
        <f t="shared" ca="1" si="10"/>
        <v>17663.709561217951</v>
      </c>
      <c r="Y78" s="12">
        <f t="shared" ca="1" si="11"/>
        <v>9459.0973817307713</v>
      </c>
      <c r="Z78" s="182">
        <f t="shared" ca="1" si="12"/>
        <v>2059357.6570512825</v>
      </c>
      <c r="AA78" s="271">
        <f t="shared" ca="1" si="29"/>
        <v>0.22</v>
      </c>
      <c r="AB78" s="12">
        <f t="shared" ca="1" si="13"/>
        <v>15620.928137237177</v>
      </c>
      <c r="AC78" s="12">
        <f t="shared" ca="1" si="14"/>
        <v>15620.928137237181</v>
      </c>
      <c r="AD78" s="199"/>
      <c r="AE78" s="273">
        <f t="shared" ca="1" si="15"/>
        <v>1.6821425527395739E-3</v>
      </c>
      <c r="AF78" s="184">
        <f t="shared" ca="1" si="16"/>
        <v>0.90392079679999782</v>
      </c>
      <c r="AG78" s="12">
        <f t="shared" ca="1" si="17"/>
        <v>14120.081808566934</v>
      </c>
      <c r="AH78" s="12">
        <f t="shared" ca="1" si="18"/>
        <v>14120.081808566938</v>
      </c>
      <c r="AI78" s="185">
        <f t="shared" ca="1" si="19"/>
        <v>49</v>
      </c>
      <c r="AJ78" s="177">
        <f t="shared" ca="1" si="20"/>
        <v>49</v>
      </c>
      <c r="AK78" s="12">
        <f t="shared" ca="1" si="21"/>
        <v>-17712.709561217955</v>
      </c>
      <c r="AL78" s="185">
        <f t="shared" ca="1" si="30"/>
        <v>17663.709561217955</v>
      </c>
      <c r="AM78" s="177">
        <f t="shared" ca="1" si="31"/>
        <v>17701.245661939109</v>
      </c>
      <c r="AN78" s="177">
        <f t="shared" ca="1" si="32"/>
        <v>13840.239817762635</v>
      </c>
      <c r="AO78" s="196">
        <f t="shared" ca="1" si="33"/>
        <v>252</v>
      </c>
      <c r="AP78" s="196">
        <f t="shared" ca="1" si="34"/>
        <v>168</v>
      </c>
      <c r="AQ78" s="177">
        <f t="shared" ca="1" si="35"/>
        <v>0</v>
      </c>
      <c r="AR78" s="177">
        <f t="shared" ca="1" si="36"/>
        <v>37.536100721154071</v>
      </c>
      <c r="AS78" s="189"/>
      <c r="AT78" s="190"/>
      <c r="AU78" s="190" t="str">
        <f ca="1">"Kolonnenr i tabell for " &amp; SUBSTITUTE(ADDRESS(1, t2kIPM,4),"1","") &amp; " - """ &amp; INDIRECT(ADDRESS(t2rTLn1-2, t2kIPM)) &amp; """: t2kIPM"</f>
        <v>Kolonnenr i tabell for AE - "Inflasjon pr måned": t2kIPM</v>
      </c>
    </row>
    <row r="79" spans="1:47" x14ac:dyDescent="0.6">
      <c r="A79" s="152" t="str">
        <f t="shared" ca="1" si="1"/>
        <v>Februar 2030</v>
      </c>
      <c r="B79" s="191">
        <v>0</v>
      </c>
      <c r="C79" s="270">
        <f t="shared" ca="1" si="22"/>
        <v>5.4899999999999997E-2</v>
      </c>
      <c r="D79" s="192" t="str">
        <f t="shared" ca="1" si="23"/>
        <v/>
      </c>
      <c r="E79" s="193" t="str">
        <f t="shared" ca="1" si="24"/>
        <v/>
      </c>
      <c r="F79" s="194">
        <f t="shared" ca="1" si="25"/>
        <v>49</v>
      </c>
      <c r="G79" s="14">
        <v>62</v>
      </c>
      <c r="H79" s="157">
        <f t="shared" ca="1" si="26"/>
        <v>251</v>
      </c>
      <c r="I79" s="16">
        <f t="shared" ca="1" si="27"/>
        <v>17626.173460496801</v>
      </c>
      <c r="J79" s="16">
        <f t="shared" ca="1" si="2"/>
        <v>9421.5612810096554</v>
      </c>
      <c r="K79" s="158">
        <f t="shared" ca="1" si="3"/>
        <v>8204.6121794871451</v>
      </c>
      <c r="L79" s="158">
        <f t="shared" ca="1" si="4"/>
        <v>2051153.0448718038</v>
      </c>
      <c r="M79" s="15">
        <f t="shared" ca="1" si="5"/>
        <v>-3.8198777474462986E-11</v>
      </c>
      <c r="N79" s="16">
        <f ca="1">IF(Y79=0, 0, ROUND(SUM(Y$17:Y79)-SUM(J$17:J79),0))</f>
        <v>0</v>
      </c>
      <c r="O79" s="16" t="str">
        <f t="shared" ca="1" si="6"/>
        <v/>
      </c>
      <c r="P79" s="16" t="str">
        <f t="shared" ca="1" si="7"/>
        <v/>
      </c>
      <c r="Q79" s="160">
        <f t="shared" ca="1" si="39"/>
        <v>5000000</v>
      </c>
      <c r="R79" s="160">
        <f t="shared" ca="1" si="39"/>
        <v>0</v>
      </c>
      <c r="S79" s="160">
        <f t="shared" ca="1" si="39"/>
        <v>358488</v>
      </c>
      <c r="T79" s="160">
        <f t="shared" ca="1" si="39"/>
        <v>628000</v>
      </c>
      <c r="U79" s="161" t="str">
        <f t="shared" ca="1" si="9"/>
        <v/>
      </c>
      <c r="V79" s="162">
        <f t="shared" ca="1" si="0"/>
        <v>3.84</v>
      </c>
      <c r="W79" s="195">
        <f t="shared" ca="1" si="28"/>
        <v>251</v>
      </c>
      <c r="X79" s="158">
        <f t="shared" ca="1" si="10"/>
        <v>17626.173460496797</v>
      </c>
      <c r="Y79" s="16">
        <f t="shared" ca="1" si="11"/>
        <v>9421.5612810096172</v>
      </c>
      <c r="Z79" s="164">
        <f t="shared" ca="1" si="12"/>
        <v>2051153.0448717952</v>
      </c>
      <c r="AA79" s="272">
        <f t="shared" ca="1" si="29"/>
        <v>0.22</v>
      </c>
      <c r="AB79" s="16">
        <f t="shared" ca="1" si="13"/>
        <v>15591.649978674675</v>
      </c>
      <c r="AC79" s="16">
        <f t="shared" ca="1" si="14"/>
        <v>15591.649978674683</v>
      </c>
      <c r="AD79" s="197"/>
      <c r="AE79" s="274">
        <f t="shared" ca="1" si="15"/>
        <v>1.6821425527395739E-3</v>
      </c>
      <c r="AF79" s="166">
        <f t="shared" ca="1" si="16"/>
        <v>0.90240027316339433</v>
      </c>
      <c r="AG79" s="16">
        <f t="shared" ca="1" si="17"/>
        <v>14069.909199824058</v>
      </c>
      <c r="AH79" s="16">
        <f t="shared" ca="1" si="18"/>
        <v>14069.909199824066</v>
      </c>
      <c r="AI79" s="168">
        <f t="shared" ca="1" si="19"/>
        <v>49</v>
      </c>
      <c r="AJ79" s="158">
        <f t="shared" ca="1" si="20"/>
        <v>49</v>
      </c>
      <c r="AK79" s="16">
        <f t="shared" ca="1" si="21"/>
        <v>-17675.173460496801</v>
      </c>
      <c r="AL79" s="168">
        <f t="shared" ca="1" si="30"/>
        <v>17626.173460496801</v>
      </c>
      <c r="AM79" s="158">
        <f t="shared" ca="1" si="31"/>
        <v>17663.709561217955</v>
      </c>
      <c r="AN79" s="158">
        <f t="shared" ca="1" si="32"/>
        <v>13814.591202864925</v>
      </c>
      <c r="AO79" s="169">
        <f t="shared" ca="1" si="33"/>
        <v>251</v>
      </c>
      <c r="AP79" s="169">
        <f t="shared" ca="1" si="34"/>
        <v>167</v>
      </c>
      <c r="AQ79" s="158">
        <f t="shared" ca="1" si="35"/>
        <v>0</v>
      </c>
      <c r="AR79" s="158">
        <f t="shared" ca="1" si="36"/>
        <v>37.536100721154071</v>
      </c>
      <c r="AS79" s="170"/>
      <c r="AT79" s="159"/>
      <c r="AU79" s="159">
        <f>COLUMN($AE$16)</f>
        <v>31</v>
      </c>
    </row>
    <row r="80" spans="1:47" x14ac:dyDescent="0.6">
      <c r="A80" s="171" t="str">
        <f t="shared" ca="1" si="1"/>
        <v>Mars 2030</v>
      </c>
      <c r="B80" s="191">
        <v>0</v>
      </c>
      <c r="C80" s="269">
        <f t="shared" ca="1" si="22"/>
        <v>5.4899999999999997E-2</v>
      </c>
      <c r="D80" s="173" t="str">
        <f t="shared" ca="1" si="23"/>
        <v/>
      </c>
      <c r="E80" s="174" t="str">
        <f t="shared" ca="1" si="24"/>
        <v/>
      </c>
      <c r="F80" s="175">
        <f t="shared" ca="1" si="25"/>
        <v>49</v>
      </c>
      <c r="G80" s="10">
        <v>63</v>
      </c>
      <c r="H80" s="176">
        <f t="shared" ca="1" si="26"/>
        <v>250</v>
      </c>
      <c r="I80" s="12">
        <f t="shared" ca="1" si="27"/>
        <v>17588.637359775646</v>
      </c>
      <c r="J80" s="12">
        <f t="shared" ca="1" si="2"/>
        <v>9384.0251802885014</v>
      </c>
      <c r="K80" s="177">
        <f t="shared" ca="1" si="3"/>
        <v>8204.6121794871451</v>
      </c>
      <c r="L80" s="177">
        <f t="shared" ca="1" si="4"/>
        <v>2042948.4326923166</v>
      </c>
      <c r="M80" s="11">
        <f t="shared" ca="1" si="5"/>
        <v>-3.8198777474462986E-11</v>
      </c>
      <c r="N80" s="12">
        <f ca="1">IF(Y80=0, 0, ROUND(SUM(Y$17:Y80)-SUM(J$17:J80),0))</f>
        <v>0</v>
      </c>
      <c r="O80" s="12" t="str">
        <f t="shared" ca="1" si="6"/>
        <v/>
      </c>
      <c r="P80" s="12">
        <f t="shared" ca="1" si="7"/>
        <v>2950000</v>
      </c>
      <c r="Q80" s="178">
        <f t="shared" ca="1" si="39"/>
        <v>5000000</v>
      </c>
      <c r="R80" s="178">
        <f t="shared" ca="1" si="39"/>
        <v>0</v>
      </c>
      <c r="S80" s="178">
        <f t="shared" ca="1" si="39"/>
        <v>358488</v>
      </c>
      <c r="T80" s="178">
        <f t="shared" ca="1" si="39"/>
        <v>628000</v>
      </c>
      <c r="U80" s="179" t="str">
        <f t="shared" ca="1" si="9"/>
        <v/>
      </c>
      <c r="V80" s="180">
        <f t="shared" ca="1" si="0"/>
        <v>3.8299999999999996</v>
      </c>
      <c r="W80" s="181">
        <f t="shared" ca="1" si="28"/>
        <v>250</v>
      </c>
      <c r="X80" s="177">
        <f t="shared" ca="1" si="10"/>
        <v>17588.637359775643</v>
      </c>
      <c r="Y80" s="12">
        <f t="shared" ca="1" si="11"/>
        <v>9384.0251802884632</v>
      </c>
      <c r="Z80" s="182">
        <f t="shared" ca="1" si="12"/>
        <v>2042948.432692308</v>
      </c>
      <c r="AA80" s="271">
        <f t="shared" ca="1" si="29"/>
        <v>0.22</v>
      </c>
      <c r="AB80" s="12">
        <f t="shared" ca="1" si="13"/>
        <v>15562.371820112177</v>
      </c>
      <c r="AC80" s="12">
        <f t="shared" ca="1" si="14"/>
        <v>15562.371820112181</v>
      </c>
      <c r="AD80" s="199"/>
      <c r="AE80" s="273">
        <f t="shared" ca="1" si="15"/>
        <v>1.6821425527395739E-3</v>
      </c>
      <c r="AF80" s="184">
        <f t="shared" ca="1" si="16"/>
        <v>0.90088230726430241</v>
      </c>
      <c r="AG80" s="12">
        <f t="shared" ca="1" si="17"/>
        <v>14019.865431807621</v>
      </c>
      <c r="AH80" s="12">
        <f t="shared" ca="1" si="18"/>
        <v>14019.865431807622</v>
      </c>
      <c r="AI80" s="185">
        <f t="shared" ca="1" si="19"/>
        <v>49</v>
      </c>
      <c r="AJ80" s="177">
        <f t="shared" ca="1" si="20"/>
        <v>49</v>
      </c>
      <c r="AK80" s="12">
        <f t="shared" ca="1" si="21"/>
        <v>-17637.637359775646</v>
      </c>
      <c r="AL80" s="185">
        <f t="shared" ca="1" si="30"/>
        <v>17588.637359775646</v>
      </c>
      <c r="AM80" s="177">
        <f t="shared" ca="1" si="31"/>
        <v>17626.173460496801</v>
      </c>
      <c r="AN80" s="177">
        <f t="shared" ca="1" si="32"/>
        <v>13788.967671427872</v>
      </c>
      <c r="AO80" s="196">
        <f t="shared" ca="1" si="33"/>
        <v>250</v>
      </c>
      <c r="AP80" s="196">
        <f t="shared" ca="1" si="34"/>
        <v>167</v>
      </c>
      <c r="AQ80" s="177">
        <f t="shared" ca="1" si="35"/>
        <v>0</v>
      </c>
      <c r="AR80" s="177">
        <f t="shared" ca="1" si="36"/>
        <v>37.536100721154071</v>
      </c>
      <c r="AS80" s="189"/>
      <c r="AT80" s="190"/>
      <c r="AU80" s="190" t="str">
        <f ca="1">"Kolonnenr i tabell for " &amp; SUBSTITUTE(ADDRESS(1, t2kIFaktor,4),"1","") &amp; " - """ &amp; INDIRECT(ADDRESS(t2rTLn1-2, t2kIFaktor)) &amp; """: t2kIFaktor"</f>
        <v>Kolonnenr i tabell for AF - "Inflasjons-faktor": t2kIFaktor</v>
      </c>
    </row>
    <row r="81" spans="1:47" x14ac:dyDescent="0.6">
      <c r="A81" s="152" t="str">
        <f t="shared" ca="1" si="1"/>
        <v>April 2030</v>
      </c>
      <c r="B81" s="191">
        <v>0</v>
      </c>
      <c r="C81" s="270">
        <f t="shared" ca="1" si="22"/>
        <v>5.4899999999999997E-2</v>
      </c>
      <c r="D81" s="192" t="str">
        <f t="shared" ca="1" si="23"/>
        <v/>
      </c>
      <c r="E81" s="193" t="str">
        <f t="shared" ca="1" si="24"/>
        <v/>
      </c>
      <c r="F81" s="194">
        <f t="shared" ca="1" si="25"/>
        <v>49</v>
      </c>
      <c r="G81" s="14">
        <v>64</v>
      </c>
      <c r="H81" s="157">
        <f t="shared" ca="1" si="26"/>
        <v>249</v>
      </c>
      <c r="I81" s="16">
        <f t="shared" ca="1" si="27"/>
        <v>17551.101259054492</v>
      </c>
      <c r="J81" s="16">
        <f t="shared" ca="1" si="2"/>
        <v>9346.4890795673473</v>
      </c>
      <c r="K81" s="158">
        <f t="shared" ca="1" si="3"/>
        <v>8204.6121794871451</v>
      </c>
      <c r="L81" s="158">
        <f t="shared" ca="1" si="4"/>
        <v>2034743.8205128293</v>
      </c>
      <c r="M81" s="15">
        <f t="shared" ca="1" si="5"/>
        <v>-3.8198777474462986E-11</v>
      </c>
      <c r="N81" s="16">
        <f ca="1">IF(Y81=0, 0, ROUND(SUM(Y$17:Y81)-SUM(J$17:J81),0))</f>
        <v>0</v>
      </c>
      <c r="O81" s="16" t="str">
        <f t="shared" ca="1" si="6"/>
        <v/>
      </c>
      <c r="P81" s="16">
        <f t="shared" ca="1" si="7"/>
        <v>2960000</v>
      </c>
      <c r="Q81" s="160">
        <f t="shared" ca="1" si="39"/>
        <v>5000000</v>
      </c>
      <c r="R81" s="160">
        <f t="shared" ca="1" si="39"/>
        <v>0</v>
      </c>
      <c r="S81" s="160">
        <f t="shared" ca="1" si="39"/>
        <v>358488</v>
      </c>
      <c r="T81" s="160">
        <f t="shared" ca="1" si="39"/>
        <v>628000</v>
      </c>
      <c r="U81" s="161" t="str">
        <f t="shared" ca="1" si="9"/>
        <v/>
      </c>
      <c r="V81" s="162">
        <f t="shared" ref="V81:V144" ca="1" si="40">IF(SUM(INDIRECT(ADDRESS(ROW(), t2kInntekt))) = 0, "Inntekt mangler", ROUNDUP(($L81 + INDIRECT(ADDRESS(ROW(), t2kFGj)) + INDIRECT(ADDRESS(ROW(), t2kAnnenGjeld))) / INDIRECT(ADDRESS(ROW(), t2kInntekt)), 2))</f>
        <v>3.82</v>
      </c>
      <c r="W81" s="195">
        <f t="shared" ca="1" si="28"/>
        <v>249</v>
      </c>
      <c r="X81" s="158">
        <f t="shared" ca="1" si="10"/>
        <v>17551.101259054489</v>
      </c>
      <c r="Y81" s="16">
        <f t="shared" ca="1" si="11"/>
        <v>9346.4890795673091</v>
      </c>
      <c r="Z81" s="164">
        <f t="shared" ca="1" si="12"/>
        <v>2034743.820512821</v>
      </c>
      <c r="AA81" s="272">
        <f t="shared" ca="1" si="29"/>
        <v>0.22</v>
      </c>
      <c r="AB81" s="16">
        <f t="shared" ca="1" si="13"/>
        <v>15533.093661549676</v>
      </c>
      <c r="AC81" s="16">
        <f t="shared" ca="1" si="14"/>
        <v>15533.093661549681</v>
      </c>
      <c r="AD81" s="197"/>
      <c r="AE81" s="274">
        <f t="shared" ca="1" si="15"/>
        <v>1.6821425527395739E-3</v>
      </c>
      <c r="AF81" s="166">
        <f t="shared" ca="1" si="16"/>
        <v>0.8993668948002429</v>
      </c>
      <c r="AG81" s="16">
        <f t="shared" ca="1" si="17"/>
        <v>13969.950213029268</v>
      </c>
      <c r="AH81" s="16">
        <f t="shared" ca="1" si="18"/>
        <v>13969.950213029271</v>
      </c>
      <c r="AI81" s="168">
        <f t="shared" ca="1" si="19"/>
        <v>49</v>
      </c>
      <c r="AJ81" s="158">
        <f t="shared" ca="1" si="20"/>
        <v>49</v>
      </c>
      <c r="AK81" s="16">
        <f t="shared" ca="1" si="21"/>
        <v>-17600.101259054492</v>
      </c>
      <c r="AL81" s="168">
        <f t="shared" ca="1" si="30"/>
        <v>17551.101259054492</v>
      </c>
      <c r="AM81" s="158">
        <f t="shared" ca="1" si="31"/>
        <v>17588.637359775646</v>
      </c>
      <c r="AN81" s="158">
        <f t="shared" ca="1" si="32"/>
        <v>13763.369249016341</v>
      </c>
      <c r="AO81" s="169">
        <f t="shared" ca="1" si="33"/>
        <v>249</v>
      </c>
      <c r="AP81" s="169">
        <f t="shared" ca="1" si="34"/>
        <v>167</v>
      </c>
      <c r="AQ81" s="158">
        <f t="shared" ca="1" si="35"/>
        <v>0</v>
      </c>
      <c r="AR81" s="158">
        <f t="shared" ca="1" si="36"/>
        <v>37.536100721154071</v>
      </c>
      <c r="AS81" s="170"/>
      <c r="AT81" s="159"/>
      <c r="AU81" s="159">
        <f>COLUMN($AF$16)</f>
        <v>32</v>
      </c>
    </row>
    <row r="82" spans="1:47" x14ac:dyDescent="0.6">
      <c r="A82" s="171" t="str">
        <f t="shared" ref="A82:A145" ca="1" si="41">PROPER(CHOOSE((MONTH($E$5)-1+G82)-INT((MONTH($E$5)-2+G82)/12)*12,"Januar","Februar","Mars","April","Mai","Juni","Juli","August","September","Oktober","November","Desember")) &amp; " " &amp; TEXT(YEAR($E$5) + INT((MONTH($E$5)-2+G82)/12),0)</f>
        <v>Mai 2030</v>
      </c>
      <c r="B82" s="191">
        <v>0</v>
      </c>
      <c r="C82" s="269">
        <f t="shared" ca="1" si="22"/>
        <v>5.4899999999999997E-2</v>
      </c>
      <c r="D82" s="173" t="str">
        <f t="shared" ca="1" si="23"/>
        <v/>
      </c>
      <c r="E82" s="174" t="str">
        <f t="shared" ca="1" si="24"/>
        <v/>
      </c>
      <c r="F82" s="175">
        <f t="shared" ca="1" si="25"/>
        <v>49</v>
      </c>
      <c r="G82" s="10">
        <v>65</v>
      </c>
      <c r="H82" s="176">
        <f t="shared" ca="1" si="26"/>
        <v>248</v>
      </c>
      <c r="I82" s="12">
        <f t="shared" ca="1" si="27"/>
        <v>17513.565158333338</v>
      </c>
      <c r="J82" s="12">
        <f t="shared" ref="J82:J145" ca="1" si="42">IF(AND(H82&lt;=0,ROUND(L81,0)&lt;=0),0, L81*INDIRECT(ADDRESS(ROW(),t2kRP))/12)</f>
        <v>9308.9529788461932</v>
      </c>
      <c r="K82" s="177">
        <f t="shared" ref="K82:K145" ca="1" si="43">IF(INDIRECT(ADDRESS(ROW(),t2kUAvd))="x", 0, I82-J82)</f>
        <v>8204.6121794871451</v>
      </c>
      <c r="L82" s="177">
        <f t="shared" ref="L82:L145" ca="1" si="44">IF(ABS(L81-ROUND(INDIRECT(ADDRESS(ROW(),t2kTnb)),0)-K82)&lt;0.5, 0, L81-INDIRECT(ADDRESS(ROW(),t2kTnb))-K82)</f>
        <v>2026539.2083333421</v>
      </c>
      <c r="M82" s="11">
        <f t="shared" ref="M82:M145" ca="1" si="45">Y82-J82</f>
        <v>-3.8198777474462986E-11</v>
      </c>
      <c r="N82" s="12">
        <f ca="1">IF(Y82=0, 0, ROUND(SUM(Y$17:Y82)-SUM(J$17:J82),0))</f>
        <v>0</v>
      </c>
      <c r="O82" s="12" t="str">
        <f t="shared" ref="O82:O145" ca="1" si="46">IF(OR(ROUND(Z82,0)&lt;=0, AND(ROUND(H82,0)&lt;=0,ROUND(L81,0)&lt;=0)), "",IF(ROUNDDOWN(Z81-L81,-(LEN(TEXT(INT(ABS(Z81-L81)),0))-2))=ROUNDDOWN(Z82-L82,-(LEN(TEXT(INT(ABS(Z82-L82)),0))-2)),"", ROUNDDOWN(Z82-L82,-(LEN(TEXT(INT(ABS(Z82-L82)),0))-2))))</f>
        <v/>
      </c>
      <c r="P82" s="12">
        <f t="shared" ref="P82:P145" ca="1" si="47">IF(INDIRECT(ADDRESS(ROW(),t2kTakst))&lt;=L82, "",IF(ROUNDDOWN(INDIRECT(ADDRESS(ROW()-1,t2kTakst))-L81,-4)=ROUNDDOWN(INDIRECT(ADDRESS(ROW(),t2kTakst))-L82,-4),"", ROUNDDOWN(INDIRECT(ADDRESS(ROW(),t2kTakst))-L82,-4)))</f>
        <v>2970000</v>
      </c>
      <c r="Q82" s="178">
        <f t="shared" ca="1" si="39"/>
        <v>5000000</v>
      </c>
      <c r="R82" s="178">
        <f t="shared" ca="1" si="39"/>
        <v>0</v>
      </c>
      <c r="S82" s="178">
        <f t="shared" ca="1" si="39"/>
        <v>358488</v>
      </c>
      <c r="T82" s="178">
        <f t="shared" ca="1" si="39"/>
        <v>628000</v>
      </c>
      <c r="U82" s="179" t="str">
        <f t="shared" ref="U82:U145" ca="1" si="48">IF(AND(OR(AND(ISNUMBER(INDIRECT(ADDRESS(ROW()-1, t2kGjeldsgrad))), SUM(INDIRECT(ADDRESS(ROW()-1, t2kGjeldsgrad))) &gt; $P$10), NOT(ISNUMBER(INDIRECT(ADDRESS(ROW()-1, t2kGjeldsgrad))))), ISNUMBER($V82), ISNUMBER($P$10), SUM($V82) &lt;= SUM($P$10)), ROW(), "")</f>
        <v/>
      </c>
      <c r="V82" s="180">
        <f t="shared" ca="1" si="40"/>
        <v>3.8</v>
      </c>
      <c r="W82" s="181">
        <f t="shared" ca="1" si="28"/>
        <v>248</v>
      </c>
      <c r="X82" s="177">
        <f t="shared" ref="X82:X145" ca="1" si="49">IF(AND(W82&lt;=0,ROUND(Z81,0)&lt;=0),0,IF(LOWER(LEFT($E$2,1))="s", IF($E$3/ROUND($E$4*12,0)+Y82&gt;Z81+Y82, Z81+Y82, $E$3/ROUND($E$4*12,0)+Y82),IF(ABS(PMT(INDIRECT(ADDRESS(ROW(),t2kRP))/12,W82,Z81)) &gt;Z81+Y82, Z81+Y82, ABS(PMT(INDIRECT(ADDRESS(ROW(),t2kRP))/12,W82,Z81)))))</f>
        <v>17513.565158333335</v>
      </c>
      <c r="Y82" s="12">
        <f t="shared" ref="Y82:Y145" ca="1" si="50">IF(AND(W82&lt;=0,ROUND(Z81,0)&lt;=0),0, Z81*INDIRECT(ADDRESS(ROW(),t2kRP))/12)</f>
        <v>9308.952978846155</v>
      </c>
      <c r="Z82" s="182">
        <f t="shared" ref="Z82:Z145" ca="1" si="51">IF(ABS(Z81+Y82-X82)&lt;0.5,0,Z81+Y82-X82)</f>
        <v>2026539.2083333337</v>
      </c>
      <c r="AA82" s="271">
        <f t="shared" ca="1" si="29"/>
        <v>0.22</v>
      </c>
      <c r="AB82" s="12">
        <f t="shared" ref="AB82:AB145" ca="1" si="52">INDIRECT(ADDRESS(ROW(),t2kTnb))+($AI82+$J82)*(1-IF(LOWER(LEFT($P$3,1))="j", INDIRECT(ADDRESS(ROW(), t2kFradragPst)), 0))+$K82</f>
        <v>15503.815502987176</v>
      </c>
      <c r="AC82" s="12">
        <f t="shared" ref="AC82:AC145" ca="1" si="53">($AJ82+$Y82)*(1-IF(LOWER(LEFT($P$3,1))="j", INDIRECT(ADDRESS(ROW(), t2kFradragPst)), 0))+($X82-$Y82)</f>
        <v>15503.815502987181</v>
      </c>
      <c r="AD82" s="199"/>
      <c r="AE82" s="273">
        <f t="shared" ref="AE82:AE145" ca="1" si="54">IF(OR(SUM(INDIRECT(ADDRESS(ROW()-1,t2kKPI)))=0,SUM(INDIRECT(ADDRESS(ROW(),t2kKPI)))=0), -((-$R$4+1)^(1/12)-1), (INDIRECT(ADDRESS(ROW(),t2kKPI))-INDIRECT(ADDRESS(ROW()-1,t2kKPI)))/INDIRECT(ADDRESS(ROW()-1,t2kKPI)))</f>
        <v>1.6821425527395739E-3</v>
      </c>
      <c r="AF82" s="184">
        <f t="shared" ref="AF82:AF145" ca="1" si="55">IF(G82-$P$4=0,1,IF(G82-$P$4&lt;0,AF83/(1-AE83),AF81*(1-AE82)))</f>
        <v>0.8978540314759742</v>
      </c>
      <c r="AG82" s="12">
        <f t="shared" ref="AG82:AG145" ca="1" si="56">$AF82*$AB82</f>
        <v>13920.163252616745</v>
      </c>
      <c r="AH82" s="12">
        <f t="shared" ref="AH82:AH145" ca="1" si="57">$AF82*$AC82</f>
        <v>13920.163252616749</v>
      </c>
      <c r="AI82" s="185">
        <f t="shared" ref="AI82:AI145" ca="1" si="58">IF(AND(H82&lt;=0,ROUND(L81,0)&lt;=0), 0, INDIRECT(ADDRESS(ROW(),t2kTG)))</f>
        <v>49</v>
      </c>
      <c r="AJ82" s="177">
        <f t="shared" ref="AJ82:AJ145" ca="1" si="59">IF(AND(W82&lt;=0,ROUND(Z81,0)&lt;=0), 0, INDIRECT(ADDRESS(ROW(),t2kTG)))</f>
        <v>49</v>
      </c>
      <c r="AK82" s="12">
        <f t="shared" ref="AK82:AK145" ca="1" si="60">-(INDIRECT(ADDRESS(ROW(),t2kTnb))+AI82+J82+K82)</f>
        <v>-17562.565158333338</v>
      </c>
      <c r="AL82" s="185">
        <f t="shared" ca="1" si="30"/>
        <v>17513.565158333338</v>
      </c>
      <c r="AM82" s="177">
        <f t="shared" ca="1" si="31"/>
        <v>17551.101259054492</v>
      </c>
      <c r="AN82" s="177">
        <f t="shared" ca="1" si="32"/>
        <v>13737.795961123909</v>
      </c>
      <c r="AO82" s="196">
        <f t="shared" ca="1" si="33"/>
        <v>248</v>
      </c>
      <c r="AP82" s="196">
        <f t="shared" ca="1" si="34"/>
        <v>166</v>
      </c>
      <c r="AQ82" s="177">
        <f t="shared" ca="1" si="35"/>
        <v>0</v>
      </c>
      <c r="AR82" s="177">
        <f t="shared" ca="1" si="36"/>
        <v>37.536100721154071</v>
      </c>
      <c r="AS82" s="189"/>
      <c r="AT82" s="190"/>
      <c r="AU82" s="190" t="str">
        <f ca="1">"Kolonnenr i tabell for " &amp; SUBSTITUTE(ADDRESS(1, t2kKost1Kpi,4),"1","") &amp; " - """ &amp; INDIRECT(ADDRESS(t2rTLn1-2, t2kKost1Kpi)) &amp; """: t2kKost1Kpi"</f>
        <v>Kolonnenr i tabell for AG - "Infl.kost m/tnb": t2kKost1Kpi</v>
      </c>
    </row>
    <row r="83" spans="1:47" x14ac:dyDescent="0.6">
      <c r="A83" s="152" t="str">
        <f t="shared" ca="1" si="41"/>
        <v>Juni 2030</v>
      </c>
      <c r="B83" s="191">
        <v>0</v>
      </c>
      <c r="C83" s="270">
        <f t="shared" ref="C83:C146" ca="1" si="61">IF(AND(LOWER(LEFT($E$10,1))="j", INDIRECT(ADDRESS(ROW(),t2kTNr))=t2vStdRTNr), t2xStdRPst, OFFSET(C83,-1,0,1,1))</f>
        <v>5.4899999999999997E-2</v>
      </c>
      <c r="D83" s="192" t="str">
        <f t="shared" ref="D83:D146" ca="1" si="62">IF(AND(LOWER(LEFT($E$8, 1))&lt;&gt;"n", INDIRECT(ADDRESS(ROW()-1,t2kUAvd))="x"),-1/12,"")</f>
        <v/>
      </c>
      <c r="E83" s="193" t="str">
        <f t="shared" ref="E83:E146" ca="1" si="63">IF(AND(LOWER(OFFSET(E83,-1,0,1,1))="x", INDIRECT(ADDRESS(ROW(),t2kTI1))&gt;1),OFFSET(E83,-1,0,1,1),"")</f>
        <v/>
      </c>
      <c r="F83" s="194">
        <f t="shared" ref="F83:F146" ca="1" si="64">OFFSET(F83,-1,0,1,1)</f>
        <v>49</v>
      </c>
      <c r="G83" s="14">
        <v>66</v>
      </c>
      <c r="H83" s="157">
        <f t="shared" ref="H83:H146" ca="1" si="65">IF(OR(ROUND(H82,0) + ROUND(SUM(INDIRECT(ADDRESS(ROW(),t2kNTid)))*12,0) &lt;= 0,ROUND(L82,0)&lt;=0),0, IF(LOWER(LEFT($E$2,1))="s", AO83, AP83))</f>
        <v>247</v>
      </c>
      <c r="I83" s="16">
        <f t="shared" ref="I83:I146" ca="1" si="66">IF(AND(H83&lt;=0,ROUND(L82,0)&lt;=0),0,IF(I82&gt;=L82+J83,L82+J83,IF(LOWER(LEFT($E$2,1))="s", AL83, AM83)))</f>
        <v>17476.029057612184</v>
      </c>
      <c r="J83" s="16">
        <f t="shared" ca="1" si="42"/>
        <v>9271.4168781250391</v>
      </c>
      <c r="K83" s="158">
        <f t="shared" ca="1" si="43"/>
        <v>8204.6121794871451</v>
      </c>
      <c r="L83" s="158">
        <f t="shared" ca="1" si="44"/>
        <v>2018334.5961538549</v>
      </c>
      <c r="M83" s="15">
        <f t="shared" ca="1" si="45"/>
        <v>-3.8198777474462986E-11</v>
      </c>
      <c r="N83" s="16">
        <f ca="1">IF(Y83=0, 0, ROUND(SUM(Y$17:Y83)-SUM(J$17:J83),0))</f>
        <v>0</v>
      </c>
      <c r="O83" s="16" t="str">
        <f t="shared" ca="1" si="46"/>
        <v/>
      </c>
      <c r="P83" s="16">
        <f t="shared" ca="1" si="47"/>
        <v>2980000</v>
      </c>
      <c r="Q83" s="160">
        <f t="shared" ca="1" si="39"/>
        <v>5000000</v>
      </c>
      <c r="R83" s="160">
        <f t="shared" ca="1" si="39"/>
        <v>0</v>
      </c>
      <c r="S83" s="160">
        <f t="shared" ca="1" si="39"/>
        <v>358488</v>
      </c>
      <c r="T83" s="160">
        <f t="shared" ca="1" si="39"/>
        <v>628000</v>
      </c>
      <c r="U83" s="161" t="str">
        <f t="shared" ca="1" si="48"/>
        <v/>
      </c>
      <c r="V83" s="162">
        <f t="shared" ca="1" si="40"/>
        <v>3.7899999999999996</v>
      </c>
      <c r="W83" s="195">
        <f t="shared" ref="W83:W146" ca="1" si="67">IF(OR(ROUNDUP(W82,0) &lt;= 0, ROUND(Z82,0) &lt;= 0),0,ROUNDUP(W82,0)-1)</f>
        <v>247</v>
      </c>
      <c r="X83" s="158">
        <f t="shared" ca="1" si="49"/>
        <v>17476.029057612181</v>
      </c>
      <c r="Y83" s="16">
        <f t="shared" ca="1" si="50"/>
        <v>9271.4168781250009</v>
      </c>
      <c r="Z83" s="164">
        <f t="shared" ca="1" si="51"/>
        <v>2018334.5961538465</v>
      </c>
      <c r="AA83" s="272">
        <f t="shared" ref="AA83:AA146" ca="1" si="68">OFFSET(AA83,-1,0,1,1)</f>
        <v>0.22</v>
      </c>
      <c r="AB83" s="16">
        <f t="shared" ca="1" si="52"/>
        <v>15474.537344424676</v>
      </c>
      <c r="AC83" s="16">
        <f t="shared" ca="1" si="53"/>
        <v>15474.53734442468</v>
      </c>
      <c r="AD83" s="197"/>
      <c r="AE83" s="274">
        <f t="shared" ca="1" si="54"/>
        <v>1.6821425527395739E-3</v>
      </c>
      <c r="AF83" s="166">
        <f t="shared" ca="1" si="55"/>
        <v>0.8963437130034797</v>
      </c>
      <c r="AG83" s="16">
        <f t="shared" ca="1" si="56"/>
        <v>13870.50426031262</v>
      </c>
      <c r="AH83" s="16">
        <f t="shared" ca="1" si="57"/>
        <v>13870.504260312624</v>
      </c>
      <c r="AI83" s="168">
        <f t="shared" ca="1" si="58"/>
        <v>49</v>
      </c>
      <c r="AJ83" s="158">
        <f t="shared" ca="1" si="59"/>
        <v>49</v>
      </c>
      <c r="AK83" s="16">
        <f t="shared" ca="1" si="60"/>
        <v>-17525.029057612184</v>
      </c>
      <c r="AL83" s="168">
        <f t="shared" ref="AL83:AL146" ca="1" si="69">IF(OR(SUM(INDIRECT(ADDRESS(ROW(), t2kNTid))) &lt;&gt; 0, AND(LOWER(LEFT($E$6, 1)) &lt;&gt; "j", INDIRECT(ADDRESS(ROW()-1, t2kTnb)) &lt;&gt; 0)), L82 / H83 + J83, (I82 - J82) + J83)</f>
        <v>17476.029057612184</v>
      </c>
      <c r="AM83" s="158">
        <f t="shared" ref="AM83:AM146" ca="1" si="70">IF(AND(INDIRECT(ADDRESS(ROW(), t2kRP)) = INDIRECT(ADDRESS(ROW()-1, t2kRP)), SUM(INDIRECT(ADDRESS(ROW(), t2kNTid))) = 0, OR(LOWER(LEFT($E$6, 1)) = "j", INDIRECT(ADDRESS(ROW()-1, t2kTnb)) = 0)), I82, ABS(AN83))</f>
        <v>17513.565158333338</v>
      </c>
      <c r="AN83" s="158">
        <f t="shared" ref="AN83:AN146" ca="1" si="71">-PMT(INDIRECT(ADDRESS(ROW(), t2kRP)) / 12, IF(SUM(INDIRECT(ADDRESS(ROW(), t2kNTid))) &lt;&gt; 0, H83, H82 - 1), IF(OR(SUM(INDIRECT(ADDRESS(ROW(), t2kNTid))) &lt;&gt; 0, AND(LOWER(LEFT($E$6, 1)) &lt;&gt; "j", INDIRECT(ADDRESS(ROW()-1, t2kTnb)) &lt;&gt; 0)), L82, L82 + INDIRECT(ADDRESS(ROW()-1, t2kTnb))))</f>
        <v>13712.247833172531</v>
      </c>
      <c r="AO83" s="169">
        <f t="shared" ref="AO83:AO146" ca="1" si="72">IF(LOWER(LEFT($E$6, 1)) = "j", ROUNDUP(ROUND(L82 / (I82 - J82), 6),0), IF(LOWER(LEFT(INDIRECT(ADDRESS(ROW()-1, t2kUAvd)), 1)) = "x", H82, H82 - 1)) + ROUND(SUM(INDIRECT(ADDRESS(ROW(), t2kNTid))) * 12, 0)</f>
        <v>247</v>
      </c>
      <c r="AP83" s="169">
        <f t="shared" ref="AP83:AP146" ca="1" si="73">IF(LOWER(LEFT($E$6, 1)) = "j", ROUNDUP(ROUND(NPER(INDIRECT(ADDRESS(ROW()-1, t2kRP)) / 12, -ABS(I82), L82), 6),0), IF(LOWER(LEFT(INDIRECT(ADDRESS(ROW()-1, t2kUAvd)), 1)) = "x", H82, H82 - 1)) + ROUND(SUM(INDIRECT(ADDRESS(ROW(), t2kNTid))) * 12, 0)</f>
        <v>166</v>
      </c>
      <c r="AQ83" s="158">
        <f t="shared" ref="AQ83:AQ146" ca="1" si="74">IF(ROUND(INDIRECT(ADDRESS(ROW()-1,t2kS1)),0) &lt;= 0,0,IF(INDIRECT(ADDRESS(ROW()-1,t2kS1)) &lt;= INDIRECT(ADDRESS(ROW()-1,t2kTnb)) + INDIRECT(ADDRESS(ROW(),t2kAvd1)),INDIRECT(ADDRESS(ROW()-1,t2kS1)) - INDIRECT(ADDRESS(ROW(),t2kAvd1)),INDIRECT(ADDRESS(ROW()-1,t2kTnb))))</f>
        <v>0</v>
      </c>
      <c r="AR83" s="158">
        <f t="shared" ref="AR83:AR146" ca="1" si="75">IF(OR((INDIRECT(ADDRESS(ROW()-1,t2kTnb))+INDIRECT(ADDRESS(ROW()-1,t2kTG))+INDIRECT(ADDRESS(ROW()-1,t2kR1))+INDIRECT(ADDRESS(ROW()-1,t2kAvd1))) &lt;= (INDIRECT(ADDRESS(ROW(),t2kTG))+INDIRECT(ADDRESS(ROW(),t2kR1))+INDIRECT(ADDRESS(ROW(),t2kAvd1))),ROUND(INDIRECT(ADDRESS(ROW()-1,t2kS1)),0) &lt;= 0),0,IF(AND(INDIRECT(ADDRESS(ROW()-1,t2kS1)) - INDIRECT(ADDRESS(ROW(),t2kAvd1)) &gt; -0.5,(INDIRECT(ADDRESS(ROW()-1,t2kTnb))+INDIRECT(ADDRESS(ROW()-1,t2kTG))+INDIRECT(ADDRESS(ROW()-1,t2kR1))+INDIRECT(ADDRESS(ROW()-1,t2kAvd1))) &gt;= (INDIRECT(ADDRESS(ROW()-1,t2kS1))+INDIRECT(ADDRESS(ROW(),t2kR1))+INDIRECT(ADDRESS(ROW(),t2kTG)))),INDIRECT(ADDRESS(ROW()-1,t2kS1)) - INDIRECT(ADDRESS(ROW(),t2kAvd1)),(INDIRECT(ADDRESS(ROW()-1,t2kTnb))+INDIRECT(ADDRESS(ROW()-1,t2kTG))+INDIRECT(ADDRESS(ROW()-1,t2kR1))+INDIRECT(ADDRESS(ROW()-1,t2kAvd1))) - (INDIRECT(ADDRESS(ROW(),t2kTG))+INDIRECT(ADDRESS(ROW(),t2kR1))+INDIRECT(ADDRESS(ROW(),t2kAvd1)))))</f>
        <v>37.536100721154071</v>
      </c>
      <c r="AS83" s="170"/>
      <c r="AT83" s="159"/>
      <c r="AU83" s="159">
        <f>COLUMN($AG$16)</f>
        <v>33</v>
      </c>
    </row>
    <row r="84" spans="1:47" x14ac:dyDescent="0.6">
      <c r="A84" s="171" t="str">
        <f t="shared" ca="1" si="41"/>
        <v>Juli 2030</v>
      </c>
      <c r="B84" s="191">
        <v>0</v>
      </c>
      <c r="C84" s="269">
        <f t="shared" ca="1" si="61"/>
        <v>5.4899999999999997E-2</v>
      </c>
      <c r="D84" s="173" t="str">
        <f t="shared" ca="1" si="62"/>
        <v/>
      </c>
      <c r="E84" s="174" t="str">
        <f t="shared" ca="1" si="63"/>
        <v/>
      </c>
      <c r="F84" s="175">
        <f t="shared" ca="1" si="64"/>
        <v>49</v>
      </c>
      <c r="G84" s="10">
        <v>67</v>
      </c>
      <c r="H84" s="176">
        <f t="shared" ca="1" si="65"/>
        <v>246</v>
      </c>
      <c r="I84" s="12">
        <f t="shared" ca="1" si="66"/>
        <v>17438.49295689103</v>
      </c>
      <c r="J84" s="12">
        <f t="shared" ca="1" si="42"/>
        <v>9233.8807774038851</v>
      </c>
      <c r="K84" s="177">
        <f t="shared" ca="1" si="43"/>
        <v>8204.6121794871451</v>
      </c>
      <c r="L84" s="177">
        <f t="shared" ca="1" si="44"/>
        <v>2010129.9839743676</v>
      </c>
      <c r="M84" s="11">
        <f t="shared" ca="1" si="45"/>
        <v>-3.8198777474462986E-11</v>
      </c>
      <c r="N84" s="12">
        <f ca="1">IF(Y84=0, 0, ROUND(SUM(Y$17:Y84)-SUM(J$17:J84),0))</f>
        <v>0</v>
      </c>
      <c r="O84" s="12" t="str">
        <f t="shared" ca="1" si="46"/>
        <v/>
      </c>
      <c r="P84" s="12" t="str">
        <f t="shared" ca="1" si="47"/>
        <v/>
      </c>
      <c r="Q84" s="178">
        <f t="shared" ca="1" si="39"/>
        <v>5000000</v>
      </c>
      <c r="R84" s="178">
        <f t="shared" ca="1" si="39"/>
        <v>0</v>
      </c>
      <c r="S84" s="178">
        <f t="shared" ca="1" si="39"/>
        <v>358488</v>
      </c>
      <c r="T84" s="178">
        <f t="shared" ca="1" si="39"/>
        <v>628000</v>
      </c>
      <c r="U84" s="179" t="str">
        <f t="shared" ca="1" si="48"/>
        <v/>
      </c>
      <c r="V84" s="180">
        <f t="shared" ca="1" si="40"/>
        <v>3.78</v>
      </c>
      <c r="W84" s="181">
        <f t="shared" ca="1" si="67"/>
        <v>246</v>
      </c>
      <c r="X84" s="177">
        <f t="shared" ca="1" si="49"/>
        <v>17438.492956891027</v>
      </c>
      <c r="Y84" s="12">
        <f t="shared" ca="1" si="50"/>
        <v>9233.8807774038469</v>
      </c>
      <c r="Z84" s="182">
        <f t="shared" ca="1" si="51"/>
        <v>2010129.9839743595</v>
      </c>
      <c r="AA84" s="271">
        <f t="shared" ca="1" si="68"/>
        <v>0.22</v>
      </c>
      <c r="AB84" s="12">
        <f t="shared" ca="1" si="52"/>
        <v>15445.259185862174</v>
      </c>
      <c r="AC84" s="12">
        <f t="shared" ca="1" si="53"/>
        <v>15445.259185862182</v>
      </c>
      <c r="AD84" s="199"/>
      <c r="AE84" s="273">
        <f t="shared" ca="1" si="54"/>
        <v>1.6821425527395739E-3</v>
      </c>
      <c r="AF84" s="184">
        <f t="shared" ca="1" si="55"/>
        <v>0.89483593510195591</v>
      </c>
      <c r="AG84" s="12">
        <f t="shared" ca="1" si="56"/>
        <v>13820.972946473054</v>
      </c>
      <c r="AH84" s="12">
        <f t="shared" ca="1" si="57"/>
        <v>13820.972946473059</v>
      </c>
      <c r="AI84" s="185">
        <f t="shared" ca="1" si="58"/>
        <v>49</v>
      </c>
      <c r="AJ84" s="177">
        <f t="shared" ca="1" si="59"/>
        <v>49</v>
      </c>
      <c r="AK84" s="12">
        <f t="shared" ca="1" si="60"/>
        <v>-17487.49295689103</v>
      </c>
      <c r="AL84" s="185">
        <f t="shared" ca="1" si="69"/>
        <v>17438.49295689103</v>
      </c>
      <c r="AM84" s="177">
        <f t="shared" ca="1" si="70"/>
        <v>17476.029057612184</v>
      </c>
      <c r="AN84" s="177">
        <f t="shared" ca="1" si="71"/>
        <v>13686.724890512203</v>
      </c>
      <c r="AO84" s="196">
        <f t="shared" ca="1" si="72"/>
        <v>246</v>
      </c>
      <c r="AP84" s="196">
        <f t="shared" ca="1" si="73"/>
        <v>165</v>
      </c>
      <c r="AQ84" s="177">
        <f t="shared" ca="1" si="74"/>
        <v>0</v>
      </c>
      <c r="AR84" s="177">
        <f t="shared" ca="1" si="75"/>
        <v>37.536100721154071</v>
      </c>
      <c r="AS84" s="189"/>
      <c r="AT84" s="190"/>
      <c r="AU84" s="190" t="str">
        <f ca="1">"Kolonnenr i tabell for " &amp; SUBSTITUTE(ADDRESS(1, t2kKost2Kpi,4),"1","") &amp; " - """ &amp; INDIRECT(ADDRESS(t2rTLn1-2, t2kKost2Kpi)) &amp; """: t2kKost2Kpi"</f>
        <v>Kolonnenr i tabell for AH - "Infl.kost u/tnb": t2kKost2Kpi</v>
      </c>
    </row>
    <row r="85" spans="1:47" x14ac:dyDescent="0.6">
      <c r="A85" s="152" t="str">
        <f t="shared" ca="1" si="41"/>
        <v>August 2030</v>
      </c>
      <c r="B85" s="191">
        <v>0</v>
      </c>
      <c r="C85" s="270">
        <f t="shared" ca="1" si="61"/>
        <v>5.4899999999999997E-2</v>
      </c>
      <c r="D85" s="192" t="str">
        <f t="shared" ca="1" si="62"/>
        <v/>
      </c>
      <c r="E85" s="193" t="str">
        <f t="shared" ca="1" si="63"/>
        <v/>
      </c>
      <c r="F85" s="194">
        <f t="shared" ca="1" si="64"/>
        <v>49</v>
      </c>
      <c r="G85" s="14">
        <v>68</v>
      </c>
      <c r="H85" s="157">
        <f t="shared" ca="1" si="65"/>
        <v>245</v>
      </c>
      <c r="I85" s="16">
        <f t="shared" ca="1" si="66"/>
        <v>17400.956856169876</v>
      </c>
      <c r="J85" s="16">
        <f t="shared" ca="1" si="42"/>
        <v>9196.344676682731</v>
      </c>
      <c r="K85" s="158">
        <f t="shared" ca="1" si="43"/>
        <v>8204.6121794871451</v>
      </c>
      <c r="L85" s="158">
        <f t="shared" ca="1" si="44"/>
        <v>2001925.3717948804</v>
      </c>
      <c r="M85" s="15">
        <f t="shared" ca="1" si="45"/>
        <v>-3.637978807091713E-11</v>
      </c>
      <c r="N85" s="16">
        <f ca="1">IF(Y85=0, 0, ROUND(SUM(Y$17:Y85)-SUM(J$17:J85),0))</f>
        <v>0</v>
      </c>
      <c r="O85" s="16" t="str">
        <f t="shared" ca="1" si="46"/>
        <v/>
      </c>
      <c r="P85" s="16">
        <f t="shared" ca="1" si="47"/>
        <v>2990000</v>
      </c>
      <c r="Q85" s="160">
        <f t="shared" ca="1" si="39"/>
        <v>5000000</v>
      </c>
      <c r="R85" s="160">
        <f t="shared" ca="1" si="39"/>
        <v>0</v>
      </c>
      <c r="S85" s="160">
        <f t="shared" ca="1" si="39"/>
        <v>358488</v>
      </c>
      <c r="T85" s="160">
        <f t="shared" ca="1" si="39"/>
        <v>628000</v>
      </c>
      <c r="U85" s="161" t="str">
        <f t="shared" ca="1" si="48"/>
        <v/>
      </c>
      <c r="V85" s="162">
        <f t="shared" ca="1" si="40"/>
        <v>3.76</v>
      </c>
      <c r="W85" s="195">
        <f t="shared" ca="1" si="67"/>
        <v>245</v>
      </c>
      <c r="X85" s="158">
        <f t="shared" ca="1" si="49"/>
        <v>17400.956856169876</v>
      </c>
      <c r="Y85" s="16">
        <f t="shared" ca="1" si="50"/>
        <v>9196.3446766826946</v>
      </c>
      <c r="Z85" s="164">
        <f t="shared" ca="1" si="51"/>
        <v>2001925.3717948722</v>
      </c>
      <c r="AA85" s="272">
        <f t="shared" ca="1" si="68"/>
        <v>0.22</v>
      </c>
      <c r="AB85" s="16">
        <f t="shared" ca="1" si="52"/>
        <v>15415.981027299676</v>
      </c>
      <c r="AC85" s="16">
        <f t="shared" ca="1" si="53"/>
        <v>15415.981027299684</v>
      </c>
      <c r="AD85" s="197"/>
      <c r="AE85" s="274">
        <f t="shared" ca="1" si="54"/>
        <v>1.6821425527395739E-3</v>
      </c>
      <c r="AF85" s="166">
        <f t="shared" ca="1" si="55"/>
        <v>0.89333069349780037</v>
      </c>
      <c r="AG85" s="16">
        <f t="shared" ca="1" si="56"/>
        <v>13771.569022066553</v>
      </c>
      <c r="AH85" s="16">
        <f t="shared" ca="1" si="57"/>
        <v>13771.56902206656</v>
      </c>
      <c r="AI85" s="168">
        <f t="shared" ca="1" si="58"/>
        <v>49</v>
      </c>
      <c r="AJ85" s="158">
        <f t="shared" ca="1" si="59"/>
        <v>49</v>
      </c>
      <c r="AK85" s="16">
        <f t="shared" ca="1" si="60"/>
        <v>-17449.956856169876</v>
      </c>
      <c r="AL85" s="168">
        <f t="shared" ca="1" si="69"/>
        <v>17400.956856169876</v>
      </c>
      <c r="AM85" s="158">
        <f t="shared" ca="1" si="70"/>
        <v>17438.49295689103</v>
      </c>
      <c r="AN85" s="158">
        <f t="shared" ca="1" si="71"/>
        <v>13661.227158420683</v>
      </c>
      <c r="AO85" s="169">
        <f t="shared" ca="1" si="72"/>
        <v>245</v>
      </c>
      <c r="AP85" s="169">
        <f t="shared" ca="1" si="73"/>
        <v>165</v>
      </c>
      <c r="AQ85" s="158">
        <f t="shared" ca="1" si="74"/>
        <v>0</v>
      </c>
      <c r="AR85" s="158">
        <f t="shared" ca="1" si="75"/>
        <v>37.536100721154071</v>
      </c>
      <c r="AS85" s="170"/>
      <c r="AT85" s="159"/>
      <c r="AU85" s="159">
        <f>COLUMN($AH$16)</f>
        <v>34</v>
      </c>
    </row>
    <row r="86" spans="1:47" x14ac:dyDescent="0.6">
      <c r="A86" s="171" t="str">
        <f t="shared" ca="1" si="41"/>
        <v>September 2030</v>
      </c>
      <c r="B86" s="191">
        <v>0</v>
      </c>
      <c r="C86" s="269">
        <f t="shared" ca="1" si="61"/>
        <v>5.4899999999999997E-2</v>
      </c>
      <c r="D86" s="173" t="str">
        <f t="shared" ca="1" si="62"/>
        <v/>
      </c>
      <c r="E86" s="174" t="str">
        <f t="shared" ca="1" si="63"/>
        <v/>
      </c>
      <c r="F86" s="175">
        <f t="shared" ca="1" si="64"/>
        <v>49</v>
      </c>
      <c r="G86" s="10">
        <v>69</v>
      </c>
      <c r="H86" s="176">
        <f t="shared" ca="1" si="65"/>
        <v>244</v>
      </c>
      <c r="I86" s="12">
        <f t="shared" ca="1" si="66"/>
        <v>17363.420755448722</v>
      </c>
      <c r="J86" s="12">
        <f t="shared" ca="1" si="42"/>
        <v>9158.8085759615769</v>
      </c>
      <c r="K86" s="177">
        <f t="shared" ca="1" si="43"/>
        <v>8204.6121794871451</v>
      </c>
      <c r="L86" s="177">
        <f t="shared" ca="1" si="44"/>
        <v>1993720.7596153931</v>
      </c>
      <c r="M86" s="11">
        <f t="shared" ca="1" si="45"/>
        <v>-3.637978807091713E-11</v>
      </c>
      <c r="N86" s="12">
        <f ca="1">IF(Y86=0, 0, ROUND(SUM(Y$17:Y86)-SUM(J$17:J86),0))</f>
        <v>0</v>
      </c>
      <c r="O86" s="12" t="str">
        <f t="shared" ca="1" si="46"/>
        <v/>
      </c>
      <c r="P86" s="12">
        <f t="shared" ca="1" si="47"/>
        <v>3000000</v>
      </c>
      <c r="Q86" s="178">
        <f t="shared" ca="1" si="39"/>
        <v>5000000</v>
      </c>
      <c r="R86" s="178">
        <f t="shared" ca="1" si="39"/>
        <v>0</v>
      </c>
      <c r="S86" s="178">
        <f t="shared" ca="1" si="39"/>
        <v>358488</v>
      </c>
      <c r="T86" s="178">
        <f t="shared" ca="1" si="39"/>
        <v>628000</v>
      </c>
      <c r="U86" s="179" t="str">
        <f t="shared" ca="1" si="48"/>
        <v/>
      </c>
      <c r="V86" s="180">
        <f t="shared" ca="1" si="40"/>
        <v>3.75</v>
      </c>
      <c r="W86" s="181">
        <f t="shared" ca="1" si="67"/>
        <v>244</v>
      </c>
      <c r="X86" s="177">
        <f t="shared" ca="1" si="49"/>
        <v>17363.420755448722</v>
      </c>
      <c r="Y86" s="12">
        <f t="shared" ca="1" si="50"/>
        <v>9158.8085759615406</v>
      </c>
      <c r="Z86" s="182">
        <f t="shared" ca="1" si="51"/>
        <v>1993720.759615385</v>
      </c>
      <c r="AA86" s="271">
        <f t="shared" ca="1" si="68"/>
        <v>0.22</v>
      </c>
      <c r="AB86" s="12">
        <f t="shared" ca="1" si="52"/>
        <v>15386.702868737175</v>
      </c>
      <c r="AC86" s="12">
        <f t="shared" ca="1" si="53"/>
        <v>15386.702868737182</v>
      </c>
      <c r="AD86" s="199"/>
      <c r="AE86" s="273">
        <f t="shared" ca="1" si="54"/>
        <v>1.6821425527395739E-3</v>
      </c>
      <c r="AF86" s="184">
        <f t="shared" ca="1" si="55"/>
        <v>0.89182798392459939</v>
      </c>
      <c r="AG86" s="12">
        <f t="shared" ca="1" si="56"/>
        <v>13722.292198672725</v>
      </c>
      <c r="AH86" s="12">
        <f t="shared" ca="1" si="57"/>
        <v>13722.292198672731</v>
      </c>
      <c r="AI86" s="185">
        <f t="shared" ca="1" si="58"/>
        <v>49</v>
      </c>
      <c r="AJ86" s="177">
        <f t="shared" ca="1" si="59"/>
        <v>49</v>
      </c>
      <c r="AK86" s="12">
        <f t="shared" ca="1" si="60"/>
        <v>-17412.420755448722</v>
      </c>
      <c r="AL86" s="185">
        <f t="shared" ca="1" si="69"/>
        <v>17363.420755448722</v>
      </c>
      <c r="AM86" s="177">
        <f t="shared" ca="1" si="70"/>
        <v>17400.956856169876</v>
      </c>
      <c r="AN86" s="177">
        <f t="shared" ca="1" si="71"/>
        <v>13635.754662103118</v>
      </c>
      <c r="AO86" s="196">
        <f t="shared" ca="1" si="72"/>
        <v>244</v>
      </c>
      <c r="AP86" s="196">
        <f t="shared" ca="1" si="73"/>
        <v>164</v>
      </c>
      <c r="AQ86" s="177">
        <f t="shared" ca="1" si="74"/>
        <v>0</v>
      </c>
      <c r="AR86" s="177">
        <f t="shared" ca="1" si="75"/>
        <v>37.536100721154071</v>
      </c>
      <c r="AS86" s="189"/>
      <c r="AT86" s="190"/>
      <c r="AU86" s="190" t="str">
        <f ca="1">"Kolonnenr i tabell for " &amp; SUBSTITUTE(ADDRESS(1, t2kTG1,4),"1","") &amp; " - termingebyr """ &amp; INDIRECT(ADDRESS(t2rTLn1-3, t2kTG1)) &amp; """: t2kTG1"</f>
        <v>Kolonnenr i tabell for AI - termingebyr "For plan m/tnb": t2kTG1</v>
      </c>
    </row>
    <row r="87" spans="1:47" x14ac:dyDescent="0.6">
      <c r="A87" s="152" t="str">
        <f t="shared" ca="1" si="41"/>
        <v>Oktober 2030</v>
      </c>
      <c r="B87" s="191">
        <v>0</v>
      </c>
      <c r="C87" s="270">
        <f t="shared" ca="1" si="61"/>
        <v>5.4899999999999997E-2</v>
      </c>
      <c r="D87" s="192" t="str">
        <f t="shared" ca="1" si="62"/>
        <v/>
      </c>
      <c r="E87" s="193" t="str">
        <f t="shared" ca="1" si="63"/>
        <v/>
      </c>
      <c r="F87" s="194">
        <f t="shared" ca="1" si="64"/>
        <v>49</v>
      </c>
      <c r="G87" s="14">
        <v>70</v>
      </c>
      <c r="H87" s="157">
        <f t="shared" ca="1" si="65"/>
        <v>243</v>
      </c>
      <c r="I87" s="16">
        <f t="shared" ca="1" si="66"/>
        <v>17325.884654727568</v>
      </c>
      <c r="J87" s="16">
        <f t="shared" ca="1" si="42"/>
        <v>9121.2724752404229</v>
      </c>
      <c r="K87" s="158">
        <f t="shared" ca="1" si="43"/>
        <v>8204.6121794871451</v>
      </c>
      <c r="L87" s="158">
        <f t="shared" ca="1" si="44"/>
        <v>1985516.1474359059</v>
      </c>
      <c r="M87" s="15">
        <f t="shared" ca="1" si="45"/>
        <v>-3.637978807091713E-11</v>
      </c>
      <c r="N87" s="16">
        <f ca="1">IF(Y87=0, 0, ROUND(SUM(Y$17:Y87)-SUM(J$17:J87),0))</f>
        <v>0</v>
      </c>
      <c r="O87" s="16" t="str">
        <f t="shared" ca="1" si="46"/>
        <v/>
      </c>
      <c r="P87" s="16">
        <f t="shared" ca="1" si="47"/>
        <v>3010000</v>
      </c>
      <c r="Q87" s="160">
        <f t="shared" ca="1" si="39"/>
        <v>5000000</v>
      </c>
      <c r="R87" s="160">
        <f t="shared" ca="1" si="39"/>
        <v>0</v>
      </c>
      <c r="S87" s="160">
        <f t="shared" ca="1" si="39"/>
        <v>358488</v>
      </c>
      <c r="T87" s="160">
        <f t="shared" ca="1" si="39"/>
        <v>628000</v>
      </c>
      <c r="U87" s="161" t="str">
        <f t="shared" ca="1" si="48"/>
        <v/>
      </c>
      <c r="V87" s="162">
        <f t="shared" ca="1" si="40"/>
        <v>3.7399999999999998</v>
      </c>
      <c r="W87" s="195">
        <f t="shared" ca="1" si="67"/>
        <v>243</v>
      </c>
      <c r="X87" s="158">
        <f t="shared" ca="1" si="49"/>
        <v>17325.884654727568</v>
      </c>
      <c r="Y87" s="16">
        <f t="shared" ca="1" si="50"/>
        <v>9121.2724752403865</v>
      </c>
      <c r="Z87" s="164">
        <f t="shared" ca="1" si="51"/>
        <v>1985516.1474358977</v>
      </c>
      <c r="AA87" s="272">
        <f t="shared" ca="1" si="68"/>
        <v>0.22</v>
      </c>
      <c r="AB87" s="16">
        <f t="shared" ca="1" si="52"/>
        <v>15357.424710174675</v>
      </c>
      <c r="AC87" s="16">
        <f t="shared" ca="1" si="53"/>
        <v>15357.424710174684</v>
      </c>
      <c r="AD87" s="197"/>
      <c r="AE87" s="274">
        <f t="shared" ca="1" si="54"/>
        <v>1.6821425527395739E-3</v>
      </c>
      <c r="AF87" s="166">
        <f t="shared" ca="1" si="55"/>
        <v>0.89032780212311591</v>
      </c>
      <c r="AG87" s="16">
        <f t="shared" ca="1" si="56"/>
        <v>13673.142188481048</v>
      </c>
      <c r="AH87" s="16">
        <f t="shared" ca="1" si="57"/>
        <v>13673.142188481057</v>
      </c>
      <c r="AI87" s="168">
        <f t="shared" ca="1" si="58"/>
        <v>49</v>
      </c>
      <c r="AJ87" s="158">
        <f t="shared" ca="1" si="59"/>
        <v>49</v>
      </c>
      <c r="AK87" s="16">
        <f t="shared" ca="1" si="60"/>
        <v>-17374.884654727568</v>
      </c>
      <c r="AL87" s="168">
        <f t="shared" ca="1" si="69"/>
        <v>17325.884654727568</v>
      </c>
      <c r="AM87" s="158">
        <f t="shared" ca="1" si="70"/>
        <v>17363.420755448722</v>
      </c>
      <c r="AN87" s="158">
        <f t="shared" ca="1" si="71"/>
        <v>13610.307426691736</v>
      </c>
      <c r="AO87" s="169">
        <f t="shared" ca="1" si="72"/>
        <v>243</v>
      </c>
      <c r="AP87" s="169">
        <f t="shared" ca="1" si="73"/>
        <v>164</v>
      </c>
      <c r="AQ87" s="158">
        <f t="shared" ca="1" si="74"/>
        <v>0</v>
      </c>
      <c r="AR87" s="158">
        <f t="shared" ca="1" si="75"/>
        <v>37.536100721154071</v>
      </c>
      <c r="AS87" s="170"/>
      <c r="AT87" s="159"/>
      <c r="AU87" s="159">
        <f>COLUMN($AI$16)</f>
        <v>35</v>
      </c>
    </row>
    <row r="88" spans="1:47" x14ac:dyDescent="0.6">
      <c r="A88" s="171" t="str">
        <f t="shared" ca="1" si="41"/>
        <v>November 2030</v>
      </c>
      <c r="B88" s="191">
        <v>0</v>
      </c>
      <c r="C88" s="269">
        <f t="shared" ca="1" si="61"/>
        <v>5.4899999999999997E-2</v>
      </c>
      <c r="D88" s="173" t="str">
        <f t="shared" ca="1" si="62"/>
        <v/>
      </c>
      <c r="E88" s="174" t="str">
        <f t="shared" ca="1" si="63"/>
        <v/>
      </c>
      <c r="F88" s="175">
        <f t="shared" ca="1" si="64"/>
        <v>49</v>
      </c>
      <c r="G88" s="10">
        <v>71</v>
      </c>
      <c r="H88" s="176">
        <f t="shared" ca="1" si="65"/>
        <v>242</v>
      </c>
      <c r="I88" s="12">
        <f t="shared" ca="1" si="66"/>
        <v>17288.348554006414</v>
      </c>
      <c r="J88" s="12">
        <f t="shared" ca="1" si="42"/>
        <v>9083.7363745192688</v>
      </c>
      <c r="K88" s="177">
        <f t="shared" ca="1" si="43"/>
        <v>8204.6121794871451</v>
      </c>
      <c r="L88" s="177">
        <f t="shared" ca="1" si="44"/>
        <v>1977311.5352564186</v>
      </c>
      <c r="M88" s="11">
        <f t="shared" ca="1" si="45"/>
        <v>-3.637978807091713E-11</v>
      </c>
      <c r="N88" s="12">
        <f ca="1">IF(Y88=0, 0, ROUND(SUM(Y$17:Y88)-SUM(J$17:J88),0))</f>
        <v>0</v>
      </c>
      <c r="O88" s="12" t="str">
        <f t="shared" ca="1" si="46"/>
        <v/>
      </c>
      <c r="P88" s="12">
        <f t="shared" ca="1" si="47"/>
        <v>3020000</v>
      </c>
      <c r="Q88" s="178">
        <f t="shared" ca="1" si="39"/>
        <v>5000000</v>
      </c>
      <c r="R88" s="178">
        <f t="shared" ca="1" si="39"/>
        <v>0</v>
      </c>
      <c r="S88" s="178">
        <f t="shared" ca="1" si="39"/>
        <v>358488</v>
      </c>
      <c r="T88" s="178">
        <f t="shared" ca="1" si="39"/>
        <v>628000</v>
      </c>
      <c r="U88" s="179" t="str">
        <f t="shared" ca="1" si="48"/>
        <v/>
      </c>
      <c r="V88" s="180">
        <f t="shared" ca="1" si="40"/>
        <v>3.7199999999999998</v>
      </c>
      <c r="W88" s="181">
        <f t="shared" ca="1" si="67"/>
        <v>242</v>
      </c>
      <c r="X88" s="177">
        <f t="shared" ca="1" si="49"/>
        <v>17288.348554006414</v>
      </c>
      <c r="Y88" s="12">
        <f t="shared" ca="1" si="50"/>
        <v>9083.7363745192324</v>
      </c>
      <c r="Z88" s="182">
        <f t="shared" ca="1" si="51"/>
        <v>1977311.5352564107</v>
      </c>
      <c r="AA88" s="271">
        <f t="shared" ca="1" si="68"/>
        <v>0.22</v>
      </c>
      <c r="AB88" s="12">
        <f t="shared" ca="1" si="52"/>
        <v>15328.146551612175</v>
      </c>
      <c r="AC88" s="12">
        <f t="shared" ca="1" si="53"/>
        <v>15328.146551612183</v>
      </c>
      <c r="AD88" s="199"/>
      <c r="AE88" s="273">
        <f t="shared" ca="1" si="54"/>
        <v>1.6821425527395739E-3</v>
      </c>
      <c r="AF88" s="184">
        <f t="shared" ca="1" si="55"/>
        <v>0.88883014384127756</v>
      </c>
      <c r="AG88" s="12">
        <f t="shared" ca="1" si="56"/>
        <v>13624.118704289633</v>
      </c>
      <c r="AH88" s="12">
        <f t="shared" ca="1" si="57"/>
        <v>13624.118704289638</v>
      </c>
      <c r="AI88" s="185">
        <f t="shared" ca="1" si="58"/>
        <v>49</v>
      </c>
      <c r="AJ88" s="177">
        <f t="shared" ca="1" si="59"/>
        <v>49</v>
      </c>
      <c r="AK88" s="12">
        <f t="shared" ca="1" si="60"/>
        <v>-17337.348554006414</v>
      </c>
      <c r="AL88" s="185">
        <f t="shared" ca="1" si="69"/>
        <v>17288.348554006414</v>
      </c>
      <c r="AM88" s="177">
        <f t="shared" ca="1" si="70"/>
        <v>17325.884654727568</v>
      </c>
      <c r="AN88" s="177">
        <f t="shared" ca="1" si="71"/>
        <v>13584.885477245534</v>
      </c>
      <c r="AO88" s="196">
        <f t="shared" ca="1" si="72"/>
        <v>242</v>
      </c>
      <c r="AP88" s="196">
        <f t="shared" ca="1" si="73"/>
        <v>163</v>
      </c>
      <c r="AQ88" s="177">
        <f t="shared" ca="1" si="74"/>
        <v>0</v>
      </c>
      <c r="AR88" s="177">
        <f t="shared" ca="1" si="75"/>
        <v>37.536100721154071</v>
      </c>
      <c r="AS88" s="189"/>
      <c r="AT88" s="190"/>
      <c r="AU88" s="190" t="str">
        <f ca="1">"Kolonnenr i tabell for " &amp; SUBSTITUTE(ADDRESS(1, t2kTG2,4),"1","") &amp; " - termingebyr """ &amp; INDIRECT(ADDRESS(t2rTLn1-3, t2kTG2)) &amp; """: t2kTG2"</f>
        <v>Kolonnenr i tabell for AJ - termingebyr "For plan u/tnb": t2kTG2</v>
      </c>
    </row>
    <row r="89" spans="1:47" x14ac:dyDescent="0.6">
      <c r="A89" s="152" t="str">
        <f t="shared" ca="1" si="41"/>
        <v>Desember 2030</v>
      </c>
      <c r="B89" s="191">
        <v>0</v>
      </c>
      <c r="C89" s="270">
        <f t="shared" ca="1" si="61"/>
        <v>5.4899999999999997E-2</v>
      </c>
      <c r="D89" s="192" t="str">
        <f t="shared" ca="1" si="62"/>
        <v/>
      </c>
      <c r="E89" s="193" t="str">
        <f t="shared" ca="1" si="63"/>
        <v/>
      </c>
      <c r="F89" s="194">
        <f t="shared" ca="1" si="64"/>
        <v>49</v>
      </c>
      <c r="G89" s="14">
        <v>72</v>
      </c>
      <c r="H89" s="157">
        <f t="shared" ca="1" si="65"/>
        <v>241</v>
      </c>
      <c r="I89" s="16">
        <f t="shared" ca="1" si="66"/>
        <v>17250.81245328526</v>
      </c>
      <c r="J89" s="16">
        <f t="shared" ca="1" si="42"/>
        <v>9046.2002737981147</v>
      </c>
      <c r="K89" s="158">
        <f t="shared" ca="1" si="43"/>
        <v>8204.6121794871451</v>
      </c>
      <c r="L89" s="158">
        <f t="shared" ca="1" si="44"/>
        <v>1969106.9230769314</v>
      </c>
      <c r="M89" s="15">
        <f t="shared" ca="1" si="45"/>
        <v>-3.637978807091713E-11</v>
      </c>
      <c r="N89" s="16">
        <f ca="1">IF(Y89=0, 0, ROUND(SUM(Y$17:Y89)-SUM(J$17:J89),0))</f>
        <v>0</v>
      </c>
      <c r="O89" s="16" t="str">
        <f t="shared" ca="1" si="46"/>
        <v/>
      </c>
      <c r="P89" s="16">
        <f t="shared" ca="1" si="47"/>
        <v>3030000</v>
      </c>
      <c r="Q89" s="160">
        <f t="shared" ca="1" si="39"/>
        <v>5000000</v>
      </c>
      <c r="R89" s="160">
        <f t="shared" ca="1" si="39"/>
        <v>0</v>
      </c>
      <c r="S89" s="160">
        <f t="shared" ca="1" si="39"/>
        <v>358488</v>
      </c>
      <c r="T89" s="160">
        <f t="shared" ca="1" si="39"/>
        <v>628000</v>
      </c>
      <c r="U89" s="161" t="str">
        <f t="shared" ca="1" si="48"/>
        <v/>
      </c>
      <c r="V89" s="162">
        <f t="shared" ca="1" si="40"/>
        <v>3.71</v>
      </c>
      <c r="W89" s="195">
        <f t="shared" ca="1" si="67"/>
        <v>241</v>
      </c>
      <c r="X89" s="158">
        <f t="shared" ca="1" si="49"/>
        <v>17250.81245328526</v>
      </c>
      <c r="Y89" s="16">
        <f t="shared" ca="1" si="50"/>
        <v>9046.2002737980783</v>
      </c>
      <c r="Z89" s="164">
        <f t="shared" ca="1" si="51"/>
        <v>1969106.9230769235</v>
      </c>
      <c r="AA89" s="272">
        <f t="shared" ca="1" si="68"/>
        <v>0.22</v>
      </c>
      <c r="AB89" s="16">
        <f t="shared" ca="1" si="52"/>
        <v>15298.868393049674</v>
      </c>
      <c r="AC89" s="16">
        <f t="shared" ca="1" si="53"/>
        <v>15298.868393049683</v>
      </c>
      <c r="AD89" s="197"/>
      <c r="AE89" s="274">
        <f t="shared" ca="1" si="54"/>
        <v>1.6821425527395739E-3</v>
      </c>
      <c r="AF89" s="166">
        <f t="shared" ca="1" si="55"/>
        <v>0.8873350048341645</v>
      </c>
      <c r="AG89" s="16">
        <f t="shared" ca="1" si="56"/>
        <v>13575.221459503979</v>
      </c>
      <c r="AH89" s="16">
        <f t="shared" ca="1" si="57"/>
        <v>13575.221459503986</v>
      </c>
      <c r="AI89" s="168">
        <f t="shared" ca="1" si="58"/>
        <v>49</v>
      </c>
      <c r="AJ89" s="158">
        <f t="shared" ca="1" si="59"/>
        <v>49</v>
      </c>
      <c r="AK89" s="16">
        <f t="shared" ca="1" si="60"/>
        <v>-17299.81245328526</v>
      </c>
      <c r="AL89" s="168">
        <f t="shared" ca="1" si="69"/>
        <v>17250.81245328526</v>
      </c>
      <c r="AM89" s="158">
        <f t="shared" ca="1" si="70"/>
        <v>17288.348554006414</v>
      </c>
      <c r="AN89" s="158">
        <f t="shared" ca="1" si="71"/>
        <v>13559.488838749947</v>
      </c>
      <c r="AO89" s="169">
        <f t="shared" ca="1" si="72"/>
        <v>241</v>
      </c>
      <c r="AP89" s="169">
        <f t="shared" ca="1" si="73"/>
        <v>163</v>
      </c>
      <c r="AQ89" s="158">
        <f t="shared" ca="1" si="74"/>
        <v>0</v>
      </c>
      <c r="AR89" s="158">
        <f t="shared" ca="1" si="75"/>
        <v>37.536100721154071</v>
      </c>
      <c r="AS89" s="170"/>
      <c r="AT89" s="159"/>
      <c r="AU89" s="159">
        <f>COLUMN($AJ$16)</f>
        <v>36</v>
      </c>
    </row>
    <row r="90" spans="1:47" x14ac:dyDescent="0.6">
      <c r="A90" s="171" t="str">
        <f t="shared" ca="1" si="41"/>
        <v>Januar 2031</v>
      </c>
      <c r="B90" s="191">
        <v>0</v>
      </c>
      <c r="C90" s="269">
        <f t="shared" ca="1" si="61"/>
        <v>5.4899999999999997E-2</v>
      </c>
      <c r="D90" s="173" t="str">
        <f t="shared" ca="1" si="62"/>
        <v/>
      </c>
      <c r="E90" s="174" t="str">
        <f t="shared" ca="1" si="63"/>
        <v/>
      </c>
      <c r="F90" s="175">
        <f t="shared" ca="1" si="64"/>
        <v>49</v>
      </c>
      <c r="G90" s="10">
        <v>73</v>
      </c>
      <c r="H90" s="176">
        <f t="shared" ca="1" si="65"/>
        <v>240</v>
      </c>
      <c r="I90" s="12">
        <f t="shared" ca="1" si="66"/>
        <v>17213.276352564106</v>
      </c>
      <c r="J90" s="12">
        <f t="shared" ca="1" si="42"/>
        <v>9008.6641730769607</v>
      </c>
      <c r="K90" s="177">
        <f t="shared" ca="1" si="43"/>
        <v>8204.6121794871451</v>
      </c>
      <c r="L90" s="177">
        <f t="shared" ca="1" si="44"/>
        <v>1960902.3108974441</v>
      </c>
      <c r="M90" s="11">
        <f t="shared" ca="1" si="45"/>
        <v>-3.637978807091713E-11</v>
      </c>
      <c r="N90" s="12">
        <f ca="1">IF(Y90=0, 0, ROUND(SUM(Y$17:Y90)-SUM(J$17:J90),0))</f>
        <v>0</v>
      </c>
      <c r="O90" s="12" t="str">
        <f t="shared" ca="1" si="46"/>
        <v/>
      </c>
      <c r="P90" s="12" t="str">
        <f t="shared" ca="1" si="47"/>
        <v/>
      </c>
      <c r="Q90" s="178">
        <f t="shared" ca="1" si="39"/>
        <v>5000000</v>
      </c>
      <c r="R90" s="178">
        <f t="shared" ca="1" si="39"/>
        <v>0</v>
      </c>
      <c r="S90" s="178">
        <f t="shared" ca="1" si="39"/>
        <v>358488</v>
      </c>
      <c r="T90" s="178">
        <f t="shared" ca="1" si="39"/>
        <v>628000</v>
      </c>
      <c r="U90" s="179" t="str">
        <f t="shared" ca="1" si="48"/>
        <v/>
      </c>
      <c r="V90" s="180">
        <f t="shared" ca="1" si="40"/>
        <v>3.6999999999999997</v>
      </c>
      <c r="W90" s="181">
        <f t="shared" ca="1" si="67"/>
        <v>240</v>
      </c>
      <c r="X90" s="177">
        <f t="shared" ca="1" si="49"/>
        <v>17213.276352564106</v>
      </c>
      <c r="Y90" s="12">
        <f t="shared" ca="1" si="50"/>
        <v>9008.6641730769243</v>
      </c>
      <c r="Z90" s="182">
        <f t="shared" ca="1" si="51"/>
        <v>1960902.3108974362</v>
      </c>
      <c r="AA90" s="271">
        <f t="shared" ca="1" si="68"/>
        <v>0.22</v>
      </c>
      <c r="AB90" s="12">
        <f t="shared" ca="1" si="52"/>
        <v>15269.590234487176</v>
      </c>
      <c r="AC90" s="12">
        <f t="shared" ca="1" si="53"/>
        <v>15269.590234487183</v>
      </c>
      <c r="AD90" s="199"/>
      <c r="AE90" s="273">
        <f t="shared" ca="1" si="54"/>
        <v>1.6821425527395739E-3</v>
      </c>
      <c r="AF90" s="184">
        <f t="shared" ca="1" si="55"/>
        <v>0.88584238086399758</v>
      </c>
      <c r="AG90" s="12">
        <f t="shared" ca="1" si="56"/>
        <v>13526.450168135767</v>
      </c>
      <c r="AH90" s="12">
        <f t="shared" ca="1" si="57"/>
        <v>13526.450168135772</v>
      </c>
      <c r="AI90" s="185">
        <f t="shared" ca="1" si="58"/>
        <v>49</v>
      </c>
      <c r="AJ90" s="177">
        <f t="shared" ca="1" si="59"/>
        <v>49</v>
      </c>
      <c r="AK90" s="12">
        <f t="shared" ca="1" si="60"/>
        <v>-17262.276352564106</v>
      </c>
      <c r="AL90" s="185">
        <f t="shared" ca="1" si="69"/>
        <v>17213.276352564106</v>
      </c>
      <c r="AM90" s="177">
        <f t="shared" ca="1" si="70"/>
        <v>17250.81245328526</v>
      </c>
      <c r="AN90" s="177">
        <f t="shared" ca="1" si="71"/>
        <v>13534.117536116519</v>
      </c>
      <c r="AO90" s="196">
        <f t="shared" ca="1" si="72"/>
        <v>240</v>
      </c>
      <c r="AP90" s="196">
        <f t="shared" ca="1" si="73"/>
        <v>162</v>
      </c>
      <c r="AQ90" s="177">
        <f t="shared" ca="1" si="74"/>
        <v>0</v>
      </c>
      <c r="AR90" s="177">
        <f t="shared" ca="1" si="75"/>
        <v>37.536100721154071</v>
      </c>
      <c r="AS90" s="189"/>
      <c r="AT90" s="190"/>
      <c r="AU90" s="190" t="str">
        <f ca="1">"Kolonnenr i tabell for " &amp; SUBSTITUTE(ADDRESS(1, t2kKS1,4),"1","") &amp; " - """ &amp; INDIRECT(ADDRESS(t2rTLn1-4, t2kKS1)) &amp; """: t2kKS1"</f>
        <v>Kolonnenr i tabell for AK - "Kontantstrøm": t2kKS1</v>
      </c>
    </row>
    <row r="91" spans="1:47" x14ac:dyDescent="0.6">
      <c r="A91" s="152" t="str">
        <f t="shared" ca="1" si="41"/>
        <v>Februar 2031</v>
      </c>
      <c r="B91" s="191">
        <v>0</v>
      </c>
      <c r="C91" s="270">
        <f t="shared" ca="1" si="61"/>
        <v>5.4899999999999997E-2</v>
      </c>
      <c r="D91" s="192" t="str">
        <f t="shared" ca="1" si="62"/>
        <v/>
      </c>
      <c r="E91" s="193" t="str">
        <f t="shared" ca="1" si="63"/>
        <v/>
      </c>
      <c r="F91" s="194">
        <f t="shared" ca="1" si="64"/>
        <v>49</v>
      </c>
      <c r="G91" s="14">
        <v>74</v>
      </c>
      <c r="H91" s="157">
        <f t="shared" ca="1" si="65"/>
        <v>239</v>
      </c>
      <c r="I91" s="16">
        <f t="shared" ca="1" si="66"/>
        <v>17175.740251842952</v>
      </c>
      <c r="J91" s="16">
        <f t="shared" ca="1" si="42"/>
        <v>8971.1280723558066</v>
      </c>
      <c r="K91" s="158">
        <f t="shared" ca="1" si="43"/>
        <v>8204.6121794871451</v>
      </c>
      <c r="L91" s="158">
        <f t="shared" ca="1" si="44"/>
        <v>1952697.6987179569</v>
      </c>
      <c r="M91" s="15">
        <f t="shared" ca="1" si="45"/>
        <v>-3.637978807091713E-11</v>
      </c>
      <c r="N91" s="16">
        <f ca="1">IF(Y91=0, 0, ROUND(SUM(Y$17:Y91)-SUM(J$17:J91),0))</f>
        <v>0</v>
      </c>
      <c r="O91" s="16" t="str">
        <f t="shared" ca="1" si="46"/>
        <v/>
      </c>
      <c r="P91" s="16">
        <f t="shared" ca="1" si="47"/>
        <v>3040000</v>
      </c>
      <c r="Q91" s="160">
        <f t="shared" ca="1" si="39"/>
        <v>5000000</v>
      </c>
      <c r="R91" s="160">
        <f t="shared" ca="1" si="39"/>
        <v>0</v>
      </c>
      <c r="S91" s="160">
        <f t="shared" ca="1" si="39"/>
        <v>358488</v>
      </c>
      <c r="T91" s="160">
        <f t="shared" ca="1" si="39"/>
        <v>628000</v>
      </c>
      <c r="U91" s="161" t="str">
        <f t="shared" ca="1" si="48"/>
        <v/>
      </c>
      <c r="V91" s="162">
        <f t="shared" ca="1" si="40"/>
        <v>3.69</v>
      </c>
      <c r="W91" s="195">
        <f t="shared" ca="1" si="67"/>
        <v>239</v>
      </c>
      <c r="X91" s="158">
        <f t="shared" ca="1" si="49"/>
        <v>17175.740251842952</v>
      </c>
      <c r="Y91" s="16">
        <f t="shared" ca="1" si="50"/>
        <v>8971.1280723557702</v>
      </c>
      <c r="Z91" s="164">
        <f t="shared" ca="1" si="51"/>
        <v>1952697.6987179492</v>
      </c>
      <c r="AA91" s="272">
        <f t="shared" ca="1" si="68"/>
        <v>0.22</v>
      </c>
      <c r="AB91" s="16">
        <f t="shared" ca="1" si="52"/>
        <v>15240.312075924674</v>
      </c>
      <c r="AC91" s="16">
        <f t="shared" ca="1" si="53"/>
        <v>15240.312075924681</v>
      </c>
      <c r="AD91" s="197"/>
      <c r="AE91" s="274">
        <f t="shared" ca="1" si="54"/>
        <v>1.6821425527395739E-3</v>
      </c>
      <c r="AF91" s="166">
        <f t="shared" ca="1" si="55"/>
        <v>0.88435226770012609</v>
      </c>
      <c r="AG91" s="16">
        <f t="shared" ca="1" si="56"/>
        <v>13477.804544801602</v>
      </c>
      <c r="AH91" s="16">
        <f t="shared" ca="1" si="57"/>
        <v>13477.804544801607</v>
      </c>
      <c r="AI91" s="168">
        <f t="shared" ca="1" si="58"/>
        <v>49</v>
      </c>
      <c r="AJ91" s="158">
        <f t="shared" ca="1" si="59"/>
        <v>49</v>
      </c>
      <c r="AK91" s="16">
        <f t="shared" ca="1" si="60"/>
        <v>-17224.740251842952</v>
      </c>
      <c r="AL91" s="168">
        <f t="shared" ca="1" si="69"/>
        <v>17175.740251842952</v>
      </c>
      <c r="AM91" s="158">
        <f t="shared" ca="1" si="70"/>
        <v>17213.276352564106</v>
      </c>
      <c r="AN91" s="158">
        <f t="shared" ca="1" si="71"/>
        <v>13508.771594182592</v>
      </c>
      <c r="AO91" s="169">
        <f t="shared" ca="1" si="72"/>
        <v>239</v>
      </c>
      <c r="AP91" s="169">
        <f t="shared" ca="1" si="73"/>
        <v>162</v>
      </c>
      <c r="AQ91" s="158">
        <f t="shared" ca="1" si="74"/>
        <v>0</v>
      </c>
      <c r="AR91" s="158">
        <f t="shared" ca="1" si="75"/>
        <v>37.536100721154071</v>
      </c>
      <c r="AS91" s="170"/>
      <c r="AT91" s="159"/>
      <c r="AU91" s="159">
        <f>COLUMN($AK$16)</f>
        <v>37</v>
      </c>
    </row>
    <row r="92" spans="1:47" x14ac:dyDescent="0.6">
      <c r="A92" s="171" t="str">
        <f t="shared" ca="1" si="41"/>
        <v>Mars 2031</v>
      </c>
      <c r="B92" s="191">
        <v>0</v>
      </c>
      <c r="C92" s="269">
        <f t="shared" ca="1" si="61"/>
        <v>5.4899999999999997E-2</v>
      </c>
      <c r="D92" s="173" t="str">
        <f t="shared" ca="1" si="62"/>
        <v/>
      </c>
      <c r="E92" s="174" t="str">
        <f t="shared" ca="1" si="63"/>
        <v/>
      </c>
      <c r="F92" s="175">
        <f t="shared" ca="1" si="64"/>
        <v>49</v>
      </c>
      <c r="G92" s="10">
        <v>75</v>
      </c>
      <c r="H92" s="176">
        <f t="shared" ca="1" si="65"/>
        <v>238</v>
      </c>
      <c r="I92" s="12">
        <f t="shared" ca="1" si="66"/>
        <v>17138.204151121798</v>
      </c>
      <c r="J92" s="12">
        <f t="shared" ca="1" si="42"/>
        <v>8933.5919716346525</v>
      </c>
      <c r="K92" s="177">
        <f t="shared" ca="1" si="43"/>
        <v>8204.6121794871451</v>
      </c>
      <c r="L92" s="177">
        <f t="shared" ca="1" si="44"/>
        <v>1944493.0865384697</v>
      </c>
      <c r="M92" s="11">
        <f t="shared" ca="1" si="45"/>
        <v>-3.637978807091713E-11</v>
      </c>
      <c r="N92" s="12">
        <f ca="1">IF(Y92=0, 0, ROUND(SUM(Y$17:Y92)-SUM(J$17:J92),0))</f>
        <v>0</v>
      </c>
      <c r="O92" s="12" t="str">
        <f t="shared" ca="1" si="46"/>
        <v/>
      </c>
      <c r="P92" s="12">
        <f t="shared" ca="1" si="47"/>
        <v>3050000</v>
      </c>
      <c r="Q92" s="178">
        <f t="shared" ca="1" si="39"/>
        <v>5000000</v>
      </c>
      <c r="R92" s="178">
        <f t="shared" ca="1" si="39"/>
        <v>0</v>
      </c>
      <c r="S92" s="178">
        <f t="shared" ca="1" si="39"/>
        <v>358488</v>
      </c>
      <c r="T92" s="178">
        <f t="shared" ca="1" si="39"/>
        <v>628000</v>
      </c>
      <c r="U92" s="179" t="str">
        <f t="shared" ca="1" si="48"/>
        <v/>
      </c>
      <c r="V92" s="180">
        <f t="shared" ca="1" si="40"/>
        <v>3.67</v>
      </c>
      <c r="W92" s="181">
        <f t="shared" ca="1" si="67"/>
        <v>238</v>
      </c>
      <c r="X92" s="177">
        <f t="shared" ca="1" si="49"/>
        <v>17138.204151121798</v>
      </c>
      <c r="Y92" s="12">
        <f t="shared" ca="1" si="50"/>
        <v>8933.5919716346161</v>
      </c>
      <c r="Z92" s="182">
        <f t="shared" ca="1" si="51"/>
        <v>1944493.086538462</v>
      </c>
      <c r="AA92" s="271">
        <f t="shared" ca="1" si="68"/>
        <v>0.22</v>
      </c>
      <c r="AB92" s="12">
        <f t="shared" ca="1" si="52"/>
        <v>15211.033917362174</v>
      </c>
      <c r="AC92" s="12">
        <f t="shared" ca="1" si="53"/>
        <v>15211.033917362183</v>
      </c>
      <c r="AD92" s="199"/>
      <c r="AE92" s="273">
        <f t="shared" ca="1" si="54"/>
        <v>1.6821425527395739E-3</v>
      </c>
      <c r="AF92" s="184">
        <f t="shared" ca="1" si="55"/>
        <v>0.88286466111901596</v>
      </c>
      <c r="AG92" s="12">
        <f t="shared" ca="1" si="56"/>
        <v>13429.284304721814</v>
      </c>
      <c r="AH92" s="12">
        <f t="shared" ca="1" si="57"/>
        <v>13429.284304721821</v>
      </c>
      <c r="AI92" s="185">
        <f t="shared" ca="1" si="58"/>
        <v>49</v>
      </c>
      <c r="AJ92" s="177">
        <f t="shared" ca="1" si="59"/>
        <v>49</v>
      </c>
      <c r="AK92" s="12">
        <f t="shared" ca="1" si="60"/>
        <v>-17187.204151121798</v>
      </c>
      <c r="AL92" s="185">
        <f t="shared" ca="1" si="69"/>
        <v>17138.204151121798</v>
      </c>
      <c r="AM92" s="177">
        <f t="shared" ca="1" si="70"/>
        <v>17175.740251842952</v>
      </c>
      <c r="AN92" s="177">
        <f t="shared" ca="1" si="71"/>
        <v>13483.451037710973</v>
      </c>
      <c r="AO92" s="196">
        <f t="shared" ca="1" si="72"/>
        <v>238</v>
      </c>
      <c r="AP92" s="196">
        <f t="shared" ca="1" si="73"/>
        <v>161</v>
      </c>
      <c r="AQ92" s="177">
        <f t="shared" ca="1" si="74"/>
        <v>0</v>
      </c>
      <c r="AR92" s="177">
        <f t="shared" ca="1" si="75"/>
        <v>37.536100721154071</v>
      </c>
      <c r="AS92" s="189"/>
      <c r="AT92" s="190"/>
      <c r="AU92" s="190" t="str">
        <f ca="1">"Kolonnenr i tabell for " &amp; SUBSTITUTE(ADDRESS(1, t2kDfNTnb,4),"1","") &amp; " - """ &amp; INDIRECT(ADDRESS(t2rTLn1-2, t2kDfNTnb)) &amp; """: t2kDfNTnb"</f>
        <v>Kolonnenr i tabell for AQ - "Delformel N for kolonne B": t2kDfNTnb</v>
      </c>
    </row>
    <row r="93" spans="1:47" x14ac:dyDescent="0.6">
      <c r="A93" s="152" t="str">
        <f t="shared" ca="1" si="41"/>
        <v>April 2031</v>
      </c>
      <c r="B93" s="191">
        <v>0</v>
      </c>
      <c r="C93" s="270">
        <f t="shared" ca="1" si="61"/>
        <v>5.4899999999999997E-2</v>
      </c>
      <c r="D93" s="192" t="str">
        <f t="shared" ca="1" si="62"/>
        <v/>
      </c>
      <c r="E93" s="193" t="str">
        <f t="shared" ca="1" si="63"/>
        <v/>
      </c>
      <c r="F93" s="194">
        <f t="shared" ca="1" si="64"/>
        <v>49</v>
      </c>
      <c r="G93" s="14">
        <v>76</v>
      </c>
      <c r="H93" s="157">
        <f t="shared" ca="1" si="65"/>
        <v>237</v>
      </c>
      <c r="I93" s="16">
        <f t="shared" ca="1" si="66"/>
        <v>17100.668050400644</v>
      </c>
      <c r="J93" s="16">
        <f t="shared" ca="1" si="42"/>
        <v>8896.0558709134984</v>
      </c>
      <c r="K93" s="158">
        <f t="shared" ca="1" si="43"/>
        <v>8204.6121794871451</v>
      </c>
      <c r="L93" s="158">
        <f t="shared" ca="1" si="44"/>
        <v>1936288.4743589824</v>
      </c>
      <c r="M93" s="15">
        <f t="shared" ca="1" si="45"/>
        <v>-3.637978807091713E-11</v>
      </c>
      <c r="N93" s="16">
        <f ca="1">IF(Y93=0, 0, ROUND(SUM(Y$17:Y93)-SUM(J$17:J93),0))</f>
        <v>0</v>
      </c>
      <c r="O93" s="16" t="str">
        <f t="shared" ca="1" si="46"/>
        <v/>
      </c>
      <c r="P93" s="16">
        <f t="shared" ca="1" si="47"/>
        <v>3060000</v>
      </c>
      <c r="Q93" s="160">
        <f t="shared" ca="1" si="39"/>
        <v>5000000</v>
      </c>
      <c r="R93" s="160">
        <f t="shared" ca="1" si="39"/>
        <v>0</v>
      </c>
      <c r="S93" s="160">
        <f t="shared" ca="1" si="39"/>
        <v>358488</v>
      </c>
      <c r="T93" s="160">
        <f t="shared" ca="1" si="39"/>
        <v>628000</v>
      </c>
      <c r="U93" s="161" t="str">
        <f t="shared" ca="1" si="48"/>
        <v/>
      </c>
      <c r="V93" s="162">
        <f t="shared" ca="1" si="40"/>
        <v>3.6599999999999997</v>
      </c>
      <c r="W93" s="195">
        <f t="shared" ca="1" si="67"/>
        <v>237</v>
      </c>
      <c r="X93" s="158">
        <f t="shared" ca="1" si="49"/>
        <v>17100.668050400644</v>
      </c>
      <c r="Y93" s="16">
        <f t="shared" ca="1" si="50"/>
        <v>8896.0558709134621</v>
      </c>
      <c r="Z93" s="164">
        <f t="shared" ca="1" si="51"/>
        <v>1936288.4743589747</v>
      </c>
      <c r="AA93" s="272">
        <f t="shared" ca="1" si="68"/>
        <v>0.22</v>
      </c>
      <c r="AB93" s="16">
        <f t="shared" ca="1" si="52"/>
        <v>15181.755758799674</v>
      </c>
      <c r="AC93" s="16">
        <f t="shared" ca="1" si="53"/>
        <v>15181.755758799682</v>
      </c>
      <c r="AD93" s="197"/>
      <c r="AE93" s="274">
        <f t="shared" ca="1" si="54"/>
        <v>1.6821425527395739E-3</v>
      </c>
      <c r="AF93" s="166">
        <f t="shared" ca="1" si="55"/>
        <v>0.88137955690423764</v>
      </c>
      <c r="AG93" s="16">
        <f t="shared" ca="1" si="56"/>
        <v>13380.889163719216</v>
      </c>
      <c r="AH93" s="16">
        <f t="shared" ca="1" si="57"/>
        <v>13380.889163719221</v>
      </c>
      <c r="AI93" s="168">
        <f t="shared" ca="1" si="58"/>
        <v>49</v>
      </c>
      <c r="AJ93" s="158">
        <f t="shared" ca="1" si="59"/>
        <v>49</v>
      </c>
      <c r="AK93" s="16">
        <f t="shared" ca="1" si="60"/>
        <v>-17149.668050400644</v>
      </c>
      <c r="AL93" s="168">
        <f t="shared" ca="1" si="69"/>
        <v>17100.668050400644</v>
      </c>
      <c r="AM93" s="158">
        <f t="shared" ca="1" si="70"/>
        <v>17138.204151121798</v>
      </c>
      <c r="AN93" s="158">
        <f t="shared" ca="1" si="71"/>
        <v>13458.155891389632</v>
      </c>
      <c r="AO93" s="169">
        <f t="shared" ca="1" si="72"/>
        <v>237</v>
      </c>
      <c r="AP93" s="169">
        <f t="shared" ca="1" si="73"/>
        <v>161</v>
      </c>
      <c r="AQ93" s="158">
        <f t="shared" ca="1" si="74"/>
        <v>0</v>
      </c>
      <c r="AR93" s="158">
        <f t="shared" ca="1" si="75"/>
        <v>37.536100721154071</v>
      </c>
      <c r="AS93" s="170"/>
      <c r="AT93" s="159"/>
      <c r="AU93" s="159">
        <f>COLUMN($AQ$16)</f>
        <v>43</v>
      </c>
    </row>
    <row r="94" spans="1:47" x14ac:dyDescent="0.6">
      <c r="A94" s="171" t="str">
        <f t="shared" ca="1" si="41"/>
        <v>Mai 2031</v>
      </c>
      <c r="B94" s="191">
        <v>0</v>
      </c>
      <c r="C94" s="269">
        <f t="shared" ca="1" si="61"/>
        <v>5.4899999999999997E-2</v>
      </c>
      <c r="D94" s="173" t="str">
        <f t="shared" ca="1" si="62"/>
        <v/>
      </c>
      <c r="E94" s="174" t="str">
        <f t="shared" ca="1" si="63"/>
        <v/>
      </c>
      <c r="F94" s="175">
        <f t="shared" ca="1" si="64"/>
        <v>49</v>
      </c>
      <c r="G94" s="10">
        <v>77</v>
      </c>
      <c r="H94" s="176">
        <f t="shared" ca="1" si="65"/>
        <v>236</v>
      </c>
      <c r="I94" s="12">
        <f t="shared" ca="1" si="66"/>
        <v>17063.131949679489</v>
      </c>
      <c r="J94" s="12">
        <f t="shared" ca="1" si="42"/>
        <v>8858.5197701923444</v>
      </c>
      <c r="K94" s="177">
        <f t="shared" ca="1" si="43"/>
        <v>8204.6121794871451</v>
      </c>
      <c r="L94" s="177">
        <f t="shared" ca="1" si="44"/>
        <v>1928083.8621794952</v>
      </c>
      <c r="M94" s="11">
        <f t="shared" ca="1" si="45"/>
        <v>-3.637978807091713E-11</v>
      </c>
      <c r="N94" s="12">
        <f ca="1">IF(Y94=0, 0, ROUND(SUM(Y$17:Y94)-SUM(J$17:J94),0))</f>
        <v>0</v>
      </c>
      <c r="O94" s="12" t="str">
        <f t="shared" ca="1" si="46"/>
        <v/>
      </c>
      <c r="P94" s="12">
        <f t="shared" ca="1" si="47"/>
        <v>3070000</v>
      </c>
      <c r="Q94" s="178">
        <f t="shared" ca="1" si="39"/>
        <v>5000000</v>
      </c>
      <c r="R94" s="178">
        <f t="shared" ca="1" si="39"/>
        <v>0</v>
      </c>
      <c r="S94" s="178">
        <f t="shared" ca="1" si="39"/>
        <v>358488</v>
      </c>
      <c r="T94" s="178">
        <f t="shared" ca="1" si="39"/>
        <v>628000</v>
      </c>
      <c r="U94" s="179" t="str">
        <f t="shared" ca="1" si="48"/>
        <v/>
      </c>
      <c r="V94" s="180">
        <f t="shared" ca="1" si="40"/>
        <v>3.65</v>
      </c>
      <c r="W94" s="181">
        <f t="shared" ca="1" si="67"/>
        <v>236</v>
      </c>
      <c r="X94" s="177">
        <f t="shared" ca="1" si="49"/>
        <v>17063.131949679489</v>
      </c>
      <c r="Y94" s="12">
        <f t="shared" ca="1" si="50"/>
        <v>8858.519770192308</v>
      </c>
      <c r="Z94" s="182">
        <f t="shared" ca="1" si="51"/>
        <v>1928083.8621794875</v>
      </c>
      <c r="AA94" s="271">
        <f t="shared" ca="1" si="68"/>
        <v>0.22</v>
      </c>
      <c r="AB94" s="12">
        <f t="shared" ca="1" si="52"/>
        <v>15152.477600237173</v>
      </c>
      <c r="AC94" s="12">
        <f t="shared" ca="1" si="53"/>
        <v>15152.477600237182</v>
      </c>
      <c r="AD94" s="199"/>
      <c r="AE94" s="273">
        <f t="shared" ca="1" si="54"/>
        <v>1.6821425527395739E-3</v>
      </c>
      <c r="AF94" s="184">
        <f t="shared" ca="1" si="55"/>
        <v>0.87989695084645425</v>
      </c>
      <c r="AG94" s="12">
        <f t="shared" ca="1" si="56"/>
        <v>13332.618838217886</v>
      </c>
      <c r="AH94" s="12">
        <f t="shared" ca="1" si="57"/>
        <v>13332.618838217895</v>
      </c>
      <c r="AI94" s="185">
        <f t="shared" ca="1" si="58"/>
        <v>49</v>
      </c>
      <c r="AJ94" s="177">
        <f t="shared" ca="1" si="59"/>
        <v>49</v>
      </c>
      <c r="AK94" s="12">
        <f t="shared" ca="1" si="60"/>
        <v>-17112.131949679489</v>
      </c>
      <c r="AL94" s="185">
        <f t="shared" ca="1" si="69"/>
        <v>17063.131949679489</v>
      </c>
      <c r="AM94" s="177">
        <f t="shared" ca="1" si="70"/>
        <v>17100.668050400644</v>
      </c>
      <c r="AN94" s="177">
        <f t="shared" ca="1" si="71"/>
        <v>13432.886179831365</v>
      </c>
      <c r="AO94" s="196">
        <f t="shared" ca="1" si="72"/>
        <v>236</v>
      </c>
      <c r="AP94" s="196">
        <f t="shared" ca="1" si="73"/>
        <v>160</v>
      </c>
      <c r="AQ94" s="177">
        <f t="shared" ca="1" si="74"/>
        <v>0</v>
      </c>
      <c r="AR94" s="177">
        <f t="shared" ca="1" si="75"/>
        <v>37.536100721154071</v>
      </c>
      <c r="AS94" s="189"/>
      <c r="AT94" s="190"/>
      <c r="AU94" s="190" t="str">
        <f ca="1">"Kolonnenr i tabell for " &amp; SUBSTITUTE(ADDRESS(1, t2kDfJTnb,4),"1","") &amp; " - """ &amp; INDIRECT(ADDRESS(t2rTLn1-2, t2kDfJTnb)) &amp; """: t2kDfJTnb"</f>
        <v>Kolonnenr i tabell for AR - "Delformel J for kolonne B": t2kDfJTnb</v>
      </c>
    </row>
    <row r="95" spans="1:47" x14ac:dyDescent="0.6">
      <c r="A95" s="152" t="str">
        <f t="shared" ca="1" si="41"/>
        <v>Juni 2031</v>
      </c>
      <c r="B95" s="191">
        <v>0</v>
      </c>
      <c r="C95" s="270">
        <f t="shared" ca="1" si="61"/>
        <v>5.4899999999999997E-2</v>
      </c>
      <c r="D95" s="192" t="str">
        <f t="shared" ca="1" si="62"/>
        <v/>
      </c>
      <c r="E95" s="193" t="str">
        <f t="shared" ca="1" si="63"/>
        <v/>
      </c>
      <c r="F95" s="194">
        <f t="shared" ca="1" si="64"/>
        <v>49</v>
      </c>
      <c r="G95" s="14">
        <v>78</v>
      </c>
      <c r="H95" s="157">
        <f t="shared" ca="1" si="65"/>
        <v>235</v>
      </c>
      <c r="I95" s="16">
        <f t="shared" ca="1" si="66"/>
        <v>17025.595848958335</v>
      </c>
      <c r="J95" s="16">
        <f t="shared" ca="1" si="42"/>
        <v>8820.9836694711903</v>
      </c>
      <c r="K95" s="158">
        <f t="shared" ca="1" si="43"/>
        <v>8204.6121794871451</v>
      </c>
      <c r="L95" s="158">
        <f t="shared" ca="1" si="44"/>
        <v>1919879.2500000079</v>
      </c>
      <c r="M95" s="15">
        <f t="shared" ca="1" si="45"/>
        <v>-3.637978807091713E-11</v>
      </c>
      <c r="N95" s="16">
        <f ca="1">IF(Y95=0, 0, ROUND(SUM(Y$17:Y95)-SUM(J$17:J95),0))</f>
        <v>0</v>
      </c>
      <c r="O95" s="16" t="str">
        <f t="shared" ca="1" si="46"/>
        <v/>
      </c>
      <c r="P95" s="16">
        <f t="shared" ca="1" si="47"/>
        <v>3080000</v>
      </c>
      <c r="Q95" s="160">
        <f t="shared" ca="1" si="39"/>
        <v>5000000</v>
      </c>
      <c r="R95" s="160">
        <f t="shared" ca="1" si="39"/>
        <v>0</v>
      </c>
      <c r="S95" s="160">
        <f t="shared" ca="1" si="39"/>
        <v>358488</v>
      </c>
      <c r="T95" s="160">
        <f t="shared" ca="1" si="39"/>
        <v>628000</v>
      </c>
      <c r="U95" s="161" t="str">
        <f t="shared" ca="1" si="48"/>
        <v/>
      </c>
      <c r="V95" s="162">
        <f t="shared" ca="1" si="40"/>
        <v>3.63</v>
      </c>
      <c r="W95" s="195">
        <f t="shared" ca="1" si="67"/>
        <v>235</v>
      </c>
      <c r="X95" s="158">
        <f t="shared" ca="1" si="49"/>
        <v>17025.595848958335</v>
      </c>
      <c r="Y95" s="16">
        <f t="shared" ca="1" si="50"/>
        <v>8820.9836694711539</v>
      </c>
      <c r="Z95" s="164">
        <f t="shared" ca="1" si="51"/>
        <v>1919879.2500000005</v>
      </c>
      <c r="AA95" s="272">
        <f t="shared" ca="1" si="68"/>
        <v>0.22</v>
      </c>
      <c r="AB95" s="16">
        <f t="shared" ca="1" si="52"/>
        <v>15123.199441674675</v>
      </c>
      <c r="AC95" s="16">
        <f t="shared" ca="1" si="53"/>
        <v>15123.199441674682</v>
      </c>
      <c r="AD95" s="197"/>
      <c r="AE95" s="274">
        <f t="shared" ca="1" si="54"/>
        <v>1.6821425527395739E-3</v>
      </c>
      <c r="AF95" s="166">
        <f t="shared" ca="1" si="55"/>
        <v>0.87841683874340959</v>
      </c>
      <c r="AG95" s="16">
        <f t="shared" ca="1" si="56"/>
        <v>13284.473045241964</v>
      </c>
      <c r="AH95" s="16">
        <f t="shared" ca="1" si="57"/>
        <v>13284.473045241972</v>
      </c>
      <c r="AI95" s="168">
        <f t="shared" ca="1" si="58"/>
        <v>49</v>
      </c>
      <c r="AJ95" s="158">
        <f t="shared" ca="1" si="59"/>
        <v>49</v>
      </c>
      <c r="AK95" s="16">
        <f t="shared" ca="1" si="60"/>
        <v>-17074.595848958335</v>
      </c>
      <c r="AL95" s="168">
        <f t="shared" ca="1" si="69"/>
        <v>17025.595848958335</v>
      </c>
      <c r="AM95" s="158">
        <f t="shared" ca="1" si="70"/>
        <v>17063.131949679489</v>
      </c>
      <c r="AN95" s="158">
        <f t="shared" ca="1" si="71"/>
        <v>13407.641927573482</v>
      </c>
      <c r="AO95" s="169">
        <f t="shared" ca="1" si="72"/>
        <v>235</v>
      </c>
      <c r="AP95" s="169">
        <f t="shared" ca="1" si="73"/>
        <v>160</v>
      </c>
      <c r="AQ95" s="158">
        <f t="shared" ca="1" si="74"/>
        <v>0</v>
      </c>
      <c r="AR95" s="158">
        <f t="shared" ca="1" si="75"/>
        <v>37.536100721154071</v>
      </c>
      <c r="AS95" s="170"/>
      <c r="AT95" s="159"/>
      <c r="AU95" s="159">
        <f>COLUMN($AR$16)</f>
        <v>44</v>
      </c>
    </row>
    <row r="96" spans="1:47" x14ac:dyDescent="0.6">
      <c r="A96" s="171" t="str">
        <f t="shared" ca="1" si="41"/>
        <v>Juli 2031</v>
      </c>
      <c r="B96" s="191">
        <v>0</v>
      </c>
      <c r="C96" s="269">
        <f t="shared" ca="1" si="61"/>
        <v>5.4899999999999997E-2</v>
      </c>
      <c r="D96" s="173" t="str">
        <f t="shared" ca="1" si="62"/>
        <v/>
      </c>
      <c r="E96" s="174" t="str">
        <f t="shared" ca="1" si="63"/>
        <v/>
      </c>
      <c r="F96" s="175">
        <f t="shared" ca="1" si="64"/>
        <v>49</v>
      </c>
      <c r="G96" s="10">
        <v>79</v>
      </c>
      <c r="H96" s="176">
        <f t="shared" ca="1" si="65"/>
        <v>234</v>
      </c>
      <c r="I96" s="12">
        <f t="shared" ca="1" si="66"/>
        <v>16988.059748237181</v>
      </c>
      <c r="J96" s="12">
        <f t="shared" ca="1" si="42"/>
        <v>8783.4475687500362</v>
      </c>
      <c r="K96" s="177">
        <f t="shared" ca="1" si="43"/>
        <v>8204.6121794871451</v>
      </c>
      <c r="L96" s="177">
        <f t="shared" ca="1" si="44"/>
        <v>1911674.6378205207</v>
      </c>
      <c r="M96" s="11">
        <f t="shared" ca="1" si="45"/>
        <v>-3.4560798667371273E-11</v>
      </c>
      <c r="N96" s="12">
        <f ca="1">IF(Y96=0, 0, ROUND(SUM(Y$17:Y96)-SUM(J$17:J96),0))</f>
        <v>0</v>
      </c>
      <c r="O96" s="12" t="str">
        <f t="shared" ca="1" si="46"/>
        <v/>
      </c>
      <c r="P96" s="12" t="str">
        <f t="shared" ca="1" si="47"/>
        <v/>
      </c>
      <c r="Q96" s="178">
        <f t="shared" ca="1" si="39"/>
        <v>5000000</v>
      </c>
      <c r="R96" s="178">
        <f t="shared" ca="1" si="39"/>
        <v>0</v>
      </c>
      <c r="S96" s="178">
        <f t="shared" ca="1" si="39"/>
        <v>358488</v>
      </c>
      <c r="T96" s="178">
        <f t="shared" ca="1" si="39"/>
        <v>628000</v>
      </c>
      <c r="U96" s="179" t="str">
        <f t="shared" ca="1" si="48"/>
        <v/>
      </c>
      <c r="V96" s="180">
        <f t="shared" ca="1" si="40"/>
        <v>3.6199999999999997</v>
      </c>
      <c r="W96" s="181">
        <f t="shared" ca="1" si="67"/>
        <v>234</v>
      </c>
      <c r="X96" s="177">
        <f t="shared" ca="1" si="49"/>
        <v>16988.059748237181</v>
      </c>
      <c r="Y96" s="12">
        <f t="shared" ca="1" si="50"/>
        <v>8783.4475687500017</v>
      </c>
      <c r="Z96" s="182">
        <f t="shared" ca="1" si="51"/>
        <v>1911674.6378205132</v>
      </c>
      <c r="AA96" s="271">
        <f t="shared" ca="1" si="68"/>
        <v>0.22</v>
      </c>
      <c r="AB96" s="12">
        <f t="shared" ca="1" si="52"/>
        <v>15093.921283112173</v>
      </c>
      <c r="AC96" s="12">
        <f t="shared" ca="1" si="53"/>
        <v>15093.92128311218</v>
      </c>
      <c r="AD96" s="199"/>
      <c r="AE96" s="273">
        <f t="shared" ca="1" si="54"/>
        <v>1.6821425527395739E-3</v>
      </c>
      <c r="AF96" s="184">
        <f t="shared" ca="1" si="55"/>
        <v>0.87693921639991634</v>
      </c>
      <c r="AG96" s="12">
        <f t="shared" ca="1" si="56"/>
        <v>13236.451502414409</v>
      </c>
      <c r="AH96" s="12">
        <f t="shared" ca="1" si="57"/>
        <v>13236.451502414415</v>
      </c>
      <c r="AI96" s="185">
        <f t="shared" ca="1" si="58"/>
        <v>49</v>
      </c>
      <c r="AJ96" s="177">
        <f t="shared" ca="1" si="59"/>
        <v>49</v>
      </c>
      <c r="AK96" s="12">
        <f t="shared" ca="1" si="60"/>
        <v>-17037.059748237181</v>
      </c>
      <c r="AL96" s="185">
        <f t="shared" ca="1" si="69"/>
        <v>16988.059748237181</v>
      </c>
      <c r="AM96" s="177">
        <f t="shared" ca="1" si="70"/>
        <v>17025.595848958335</v>
      </c>
      <c r="AN96" s="177">
        <f t="shared" ca="1" si="71"/>
        <v>13382.423159077483</v>
      </c>
      <c r="AO96" s="196">
        <f t="shared" ca="1" si="72"/>
        <v>234</v>
      </c>
      <c r="AP96" s="196">
        <f t="shared" ca="1" si="73"/>
        <v>159</v>
      </c>
      <c r="AQ96" s="177">
        <f t="shared" ca="1" si="74"/>
        <v>0</v>
      </c>
      <c r="AR96" s="177">
        <f t="shared" ca="1" si="75"/>
        <v>37.536100721154071</v>
      </c>
      <c r="AS96" s="189"/>
      <c r="AT96" s="190"/>
      <c r="AU96" s="190"/>
    </row>
    <row r="97" spans="1:47" x14ac:dyDescent="0.6">
      <c r="A97" s="152" t="str">
        <f t="shared" ca="1" si="41"/>
        <v>August 2031</v>
      </c>
      <c r="B97" s="191">
        <v>0</v>
      </c>
      <c r="C97" s="270">
        <f t="shared" ca="1" si="61"/>
        <v>5.4899999999999997E-2</v>
      </c>
      <c r="D97" s="192" t="str">
        <f t="shared" ca="1" si="62"/>
        <v/>
      </c>
      <c r="E97" s="193" t="str">
        <f t="shared" ca="1" si="63"/>
        <v/>
      </c>
      <c r="F97" s="194">
        <f t="shared" ca="1" si="64"/>
        <v>49</v>
      </c>
      <c r="G97" s="14">
        <v>80</v>
      </c>
      <c r="H97" s="157">
        <f t="shared" ca="1" si="65"/>
        <v>233</v>
      </c>
      <c r="I97" s="16">
        <f t="shared" ca="1" si="66"/>
        <v>16950.523647516027</v>
      </c>
      <c r="J97" s="16">
        <f t="shared" ca="1" si="42"/>
        <v>8745.9114680288822</v>
      </c>
      <c r="K97" s="158">
        <f t="shared" ca="1" si="43"/>
        <v>8204.6121794871451</v>
      </c>
      <c r="L97" s="158">
        <f t="shared" ca="1" si="44"/>
        <v>1903470.0256410334</v>
      </c>
      <c r="M97" s="15">
        <f t="shared" ca="1" si="45"/>
        <v>-3.4560798667371273E-11</v>
      </c>
      <c r="N97" s="16">
        <f ca="1">IF(Y97=0, 0, ROUND(SUM(Y$17:Y97)-SUM(J$17:J97),0))</f>
        <v>0</v>
      </c>
      <c r="O97" s="16" t="str">
        <f t="shared" ca="1" si="46"/>
        <v/>
      </c>
      <c r="P97" s="16">
        <f t="shared" ca="1" si="47"/>
        <v>3090000</v>
      </c>
      <c r="Q97" s="160">
        <f t="shared" ca="1" si="39"/>
        <v>5000000</v>
      </c>
      <c r="R97" s="160">
        <f t="shared" ca="1" si="39"/>
        <v>0</v>
      </c>
      <c r="S97" s="160">
        <f t="shared" ca="1" si="39"/>
        <v>358488</v>
      </c>
      <c r="T97" s="160">
        <f t="shared" ca="1" si="39"/>
        <v>628000</v>
      </c>
      <c r="U97" s="161" t="str">
        <f t="shared" ca="1" si="48"/>
        <v/>
      </c>
      <c r="V97" s="162">
        <f t="shared" ca="1" si="40"/>
        <v>3.61</v>
      </c>
      <c r="W97" s="195">
        <f t="shared" ca="1" si="67"/>
        <v>233</v>
      </c>
      <c r="X97" s="158">
        <f t="shared" ca="1" si="49"/>
        <v>16950.523647516027</v>
      </c>
      <c r="Y97" s="16">
        <f t="shared" ca="1" si="50"/>
        <v>8745.9114680288476</v>
      </c>
      <c r="Z97" s="164">
        <f t="shared" ca="1" si="51"/>
        <v>1903470.025641026</v>
      </c>
      <c r="AA97" s="272">
        <f t="shared" ca="1" si="68"/>
        <v>0.22</v>
      </c>
      <c r="AB97" s="16">
        <f t="shared" ca="1" si="52"/>
        <v>15064.643124549673</v>
      </c>
      <c r="AC97" s="16">
        <f t="shared" ca="1" si="53"/>
        <v>15064.643124549681</v>
      </c>
      <c r="AD97" s="197"/>
      <c r="AE97" s="274">
        <f t="shared" ca="1" si="54"/>
        <v>1.6821425527395739E-3</v>
      </c>
      <c r="AF97" s="166">
        <f t="shared" ca="1" si="55"/>
        <v>0.87546407962784389</v>
      </c>
      <c r="AG97" s="16">
        <f t="shared" ca="1" si="56"/>
        <v>13188.553927955807</v>
      </c>
      <c r="AH97" s="16">
        <f t="shared" ca="1" si="57"/>
        <v>13188.553927955812</v>
      </c>
      <c r="AI97" s="168">
        <f t="shared" ca="1" si="58"/>
        <v>49</v>
      </c>
      <c r="AJ97" s="158">
        <f t="shared" ca="1" si="59"/>
        <v>49</v>
      </c>
      <c r="AK97" s="16">
        <f t="shared" ca="1" si="60"/>
        <v>-16999.523647516027</v>
      </c>
      <c r="AL97" s="168">
        <f t="shared" ca="1" si="69"/>
        <v>16950.523647516027</v>
      </c>
      <c r="AM97" s="158">
        <f t="shared" ca="1" si="70"/>
        <v>16988.059748237181</v>
      </c>
      <c r="AN97" s="158">
        <f t="shared" ca="1" si="71"/>
        <v>13357.229898728752</v>
      </c>
      <c r="AO97" s="169">
        <f t="shared" ca="1" si="72"/>
        <v>233</v>
      </c>
      <c r="AP97" s="169">
        <f t="shared" ca="1" si="73"/>
        <v>159</v>
      </c>
      <c r="AQ97" s="158">
        <f t="shared" ca="1" si="74"/>
        <v>0</v>
      </c>
      <c r="AR97" s="158">
        <f t="shared" ca="1" si="75"/>
        <v>37.536100721154071</v>
      </c>
      <c r="AS97" s="170"/>
      <c r="AT97" s="159"/>
      <c r="AU97" s="159"/>
    </row>
    <row r="98" spans="1:47" x14ac:dyDescent="0.6">
      <c r="A98" s="171" t="str">
        <f t="shared" ca="1" si="41"/>
        <v>September 2031</v>
      </c>
      <c r="B98" s="191">
        <v>0</v>
      </c>
      <c r="C98" s="269">
        <f t="shared" ca="1" si="61"/>
        <v>5.4899999999999997E-2</v>
      </c>
      <c r="D98" s="173" t="str">
        <f t="shared" ca="1" si="62"/>
        <v/>
      </c>
      <c r="E98" s="174" t="str">
        <f t="shared" ca="1" si="63"/>
        <v/>
      </c>
      <c r="F98" s="175">
        <f t="shared" ca="1" si="64"/>
        <v>49</v>
      </c>
      <c r="G98" s="10">
        <v>81</v>
      </c>
      <c r="H98" s="176">
        <f t="shared" ca="1" si="65"/>
        <v>232</v>
      </c>
      <c r="I98" s="12">
        <f t="shared" ca="1" si="66"/>
        <v>16912.987546794873</v>
      </c>
      <c r="J98" s="12">
        <f t="shared" ca="1" si="42"/>
        <v>8708.3753673077281</v>
      </c>
      <c r="K98" s="177">
        <f t="shared" ca="1" si="43"/>
        <v>8204.6121794871451</v>
      </c>
      <c r="L98" s="177">
        <f t="shared" ca="1" si="44"/>
        <v>1895265.4134615462</v>
      </c>
      <c r="M98" s="11">
        <f t="shared" ca="1" si="45"/>
        <v>-3.4560798667371273E-11</v>
      </c>
      <c r="N98" s="12">
        <f ca="1">IF(Y98=0, 0, ROUND(SUM(Y$17:Y98)-SUM(J$17:J98),0))</f>
        <v>0</v>
      </c>
      <c r="O98" s="12" t="str">
        <f t="shared" ca="1" si="46"/>
        <v/>
      </c>
      <c r="P98" s="12">
        <f t="shared" ca="1" si="47"/>
        <v>3100000</v>
      </c>
      <c r="Q98" s="178">
        <f t="shared" ref="Q98:T117" ca="1" si="76">OFFSET(Q98,-1,0,1,1)</f>
        <v>5000000</v>
      </c>
      <c r="R98" s="178">
        <f t="shared" ca="1" si="76"/>
        <v>0</v>
      </c>
      <c r="S98" s="178">
        <f t="shared" ca="1" si="76"/>
        <v>358488</v>
      </c>
      <c r="T98" s="178">
        <f t="shared" ca="1" si="76"/>
        <v>628000</v>
      </c>
      <c r="U98" s="179" t="str">
        <f t="shared" ca="1" si="48"/>
        <v/>
      </c>
      <c r="V98" s="180">
        <f t="shared" ca="1" si="40"/>
        <v>3.59</v>
      </c>
      <c r="W98" s="181">
        <f t="shared" ca="1" si="67"/>
        <v>232</v>
      </c>
      <c r="X98" s="177">
        <f t="shared" ca="1" si="49"/>
        <v>16912.987546794873</v>
      </c>
      <c r="Y98" s="12">
        <f t="shared" ca="1" si="50"/>
        <v>8708.3753673076935</v>
      </c>
      <c r="Z98" s="182">
        <f t="shared" ca="1" si="51"/>
        <v>1895265.413461539</v>
      </c>
      <c r="AA98" s="271">
        <f t="shared" ca="1" si="68"/>
        <v>0.22</v>
      </c>
      <c r="AB98" s="12">
        <f t="shared" ca="1" si="52"/>
        <v>15035.364965987173</v>
      </c>
      <c r="AC98" s="12">
        <f t="shared" ca="1" si="53"/>
        <v>15035.364965987181</v>
      </c>
      <c r="AD98" s="199"/>
      <c r="AE98" s="273">
        <f t="shared" ca="1" si="54"/>
        <v>1.6821425527395739E-3</v>
      </c>
      <c r="AF98" s="184">
        <f t="shared" ca="1" si="55"/>
        <v>0.87399142424610687</v>
      </c>
      <c r="AG98" s="12">
        <f t="shared" ca="1" si="56"/>
        <v>13140.780040683148</v>
      </c>
      <c r="AH98" s="12">
        <f t="shared" ca="1" si="57"/>
        <v>13140.780040683154</v>
      </c>
      <c r="AI98" s="185">
        <f t="shared" ca="1" si="58"/>
        <v>49</v>
      </c>
      <c r="AJ98" s="177">
        <f t="shared" ca="1" si="59"/>
        <v>49</v>
      </c>
      <c r="AK98" s="12">
        <f t="shared" ca="1" si="60"/>
        <v>-16961.987546794873</v>
      </c>
      <c r="AL98" s="185">
        <f t="shared" ca="1" si="69"/>
        <v>16912.987546794873</v>
      </c>
      <c r="AM98" s="177">
        <f t="shared" ca="1" si="70"/>
        <v>16950.523647516027</v>
      </c>
      <c r="AN98" s="177">
        <f t="shared" ca="1" si="71"/>
        <v>13332.062170836231</v>
      </c>
      <c r="AO98" s="196">
        <f t="shared" ca="1" si="72"/>
        <v>232</v>
      </c>
      <c r="AP98" s="196">
        <f t="shared" ca="1" si="73"/>
        <v>158</v>
      </c>
      <c r="AQ98" s="177">
        <f t="shared" ca="1" si="74"/>
        <v>0</v>
      </c>
      <c r="AR98" s="177">
        <f t="shared" ca="1" si="75"/>
        <v>37.536100721154071</v>
      </c>
      <c r="AS98" s="189"/>
      <c r="AT98" s="190"/>
      <c r="AU98" s="200"/>
    </row>
    <row r="99" spans="1:47" x14ac:dyDescent="0.6">
      <c r="A99" s="152" t="str">
        <f t="shared" ca="1" si="41"/>
        <v>Oktober 2031</v>
      </c>
      <c r="B99" s="191">
        <v>0</v>
      </c>
      <c r="C99" s="270">
        <f t="shared" ca="1" si="61"/>
        <v>5.4899999999999997E-2</v>
      </c>
      <c r="D99" s="192" t="str">
        <f t="shared" ca="1" si="62"/>
        <v/>
      </c>
      <c r="E99" s="193" t="str">
        <f t="shared" ca="1" si="63"/>
        <v/>
      </c>
      <c r="F99" s="194">
        <f t="shared" ca="1" si="64"/>
        <v>49</v>
      </c>
      <c r="G99" s="14">
        <v>82</v>
      </c>
      <c r="H99" s="157">
        <f t="shared" ca="1" si="65"/>
        <v>231</v>
      </c>
      <c r="I99" s="16">
        <f t="shared" ca="1" si="66"/>
        <v>16875.451446073719</v>
      </c>
      <c r="J99" s="16">
        <f t="shared" ca="1" si="42"/>
        <v>8670.839266586574</v>
      </c>
      <c r="K99" s="158">
        <f t="shared" ca="1" si="43"/>
        <v>8204.6121794871451</v>
      </c>
      <c r="L99" s="158">
        <f t="shared" ca="1" si="44"/>
        <v>1887060.8012820589</v>
      </c>
      <c r="M99" s="15">
        <f t="shared" ca="1" si="45"/>
        <v>-3.2741809263825417E-11</v>
      </c>
      <c r="N99" s="16">
        <f ca="1">IF(Y99=0, 0, ROUND(SUM(Y$17:Y99)-SUM(J$17:J99),0))</f>
        <v>0</v>
      </c>
      <c r="O99" s="16" t="str">
        <f t="shared" ca="1" si="46"/>
        <v/>
      </c>
      <c r="P99" s="16">
        <f t="shared" ca="1" si="47"/>
        <v>3110000</v>
      </c>
      <c r="Q99" s="160">
        <f t="shared" ca="1" si="76"/>
        <v>5000000</v>
      </c>
      <c r="R99" s="160">
        <f t="shared" ca="1" si="76"/>
        <v>0</v>
      </c>
      <c r="S99" s="160">
        <f t="shared" ca="1" si="76"/>
        <v>358488</v>
      </c>
      <c r="T99" s="160">
        <f t="shared" ca="1" si="76"/>
        <v>628000</v>
      </c>
      <c r="U99" s="161" t="str">
        <f t="shared" ca="1" si="48"/>
        <v/>
      </c>
      <c r="V99" s="162">
        <f t="shared" ca="1" si="40"/>
        <v>3.5799999999999996</v>
      </c>
      <c r="W99" s="195">
        <f t="shared" ca="1" si="67"/>
        <v>231</v>
      </c>
      <c r="X99" s="158">
        <f t="shared" ca="1" si="49"/>
        <v>16875.451446073719</v>
      </c>
      <c r="Y99" s="16">
        <f t="shared" ca="1" si="50"/>
        <v>8670.8392665865413</v>
      </c>
      <c r="Z99" s="164">
        <f t="shared" ca="1" si="51"/>
        <v>1887060.8012820517</v>
      </c>
      <c r="AA99" s="272">
        <f t="shared" ca="1" si="68"/>
        <v>0.22</v>
      </c>
      <c r="AB99" s="16">
        <f t="shared" ca="1" si="52"/>
        <v>15006.086807424672</v>
      </c>
      <c r="AC99" s="16">
        <f t="shared" ca="1" si="53"/>
        <v>15006.086807424679</v>
      </c>
      <c r="AD99" s="197"/>
      <c r="AE99" s="274">
        <f t="shared" ca="1" si="54"/>
        <v>1.6821425527395739E-3</v>
      </c>
      <c r="AF99" s="166">
        <f t="shared" ca="1" si="55"/>
        <v>0.87252124608065307</v>
      </c>
      <c r="AG99" s="16">
        <f t="shared" ca="1" si="56"/>
        <v>13093.129560008623</v>
      </c>
      <c r="AH99" s="16">
        <f t="shared" ca="1" si="57"/>
        <v>13093.129560008631</v>
      </c>
      <c r="AI99" s="168">
        <f t="shared" ca="1" si="58"/>
        <v>49</v>
      </c>
      <c r="AJ99" s="158">
        <f t="shared" ca="1" si="59"/>
        <v>49</v>
      </c>
      <c r="AK99" s="16">
        <f t="shared" ca="1" si="60"/>
        <v>-16924.451446073719</v>
      </c>
      <c r="AL99" s="168">
        <f t="shared" ca="1" si="69"/>
        <v>16875.451446073719</v>
      </c>
      <c r="AM99" s="158">
        <f t="shared" ca="1" si="70"/>
        <v>16912.987546794873</v>
      </c>
      <c r="AN99" s="158">
        <f t="shared" ca="1" si="71"/>
        <v>13306.919999632089</v>
      </c>
      <c r="AO99" s="169">
        <f t="shared" ca="1" si="72"/>
        <v>231</v>
      </c>
      <c r="AP99" s="169">
        <f t="shared" ca="1" si="73"/>
        <v>158</v>
      </c>
      <c r="AQ99" s="158">
        <f t="shared" ca="1" si="74"/>
        <v>0</v>
      </c>
      <c r="AR99" s="158">
        <f t="shared" ca="1" si="75"/>
        <v>37.536100721154071</v>
      </c>
      <c r="AS99" s="170"/>
      <c r="AT99" s="159"/>
      <c r="AU99" s="159"/>
    </row>
    <row r="100" spans="1:47" x14ac:dyDescent="0.6">
      <c r="A100" s="171" t="str">
        <f t="shared" ca="1" si="41"/>
        <v>November 2031</v>
      </c>
      <c r="B100" s="191">
        <v>0</v>
      </c>
      <c r="C100" s="269">
        <f t="shared" ca="1" si="61"/>
        <v>5.4899999999999997E-2</v>
      </c>
      <c r="D100" s="173" t="str">
        <f t="shared" ca="1" si="62"/>
        <v/>
      </c>
      <c r="E100" s="174" t="str">
        <f t="shared" ca="1" si="63"/>
        <v/>
      </c>
      <c r="F100" s="175">
        <f t="shared" ca="1" si="64"/>
        <v>49</v>
      </c>
      <c r="G100" s="10">
        <v>83</v>
      </c>
      <c r="H100" s="176">
        <f t="shared" ca="1" si="65"/>
        <v>230</v>
      </c>
      <c r="I100" s="12">
        <f t="shared" ca="1" si="66"/>
        <v>16837.915345352565</v>
      </c>
      <c r="J100" s="12">
        <f t="shared" ca="1" si="42"/>
        <v>8633.3031658654199</v>
      </c>
      <c r="K100" s="177">
        <f t="shared" ca="1" si="43"/>
        <v>8204.6121794871451</v>
      </c>
      <c r="L100" s="177">
        <f t="shared" ca="1" si="44"/>
        <v>1878856.1891025717</v>
      </c>
      <c r="M100" s="11">
        <f t="shared" ca="1" si="45"/>
        <v>-3.2741809263825417E-11</v>
      </c>
      <c r="N100" s="12">
        <f ca="1">IF(Y100=0, 0, ROUND(SUM(Y$17:Y100)-SUM(J$17:J100),0))</f>
        <v>0</v>
      </c>
      <c r="O100" s="12" t="str">
        <f t="shared" ca="1" si="46"/>
        <v/>
      </c>
      <c r="P100" s="12">
        <f t="shared" ca="1" si="47"/>
        <v>3120000</v>
      </c>
      <c r="Q100" s="178">
        <f t="shared" ca="1" si="76"/>
        <v>5000000</v>
      </c>
      <c r="R100" s="178">
        <f t="shared" ca="1" si="76"/>
        <v>0</v>
      </c>
      <c r="S100" s="178">
        <f t="shared" ca="1" si="76"/>
        <v>358488</v>
      </c>
      <c r="T100" s="178">
        <f t="shared" ca="1" si="76"/>
        <v>628000</v>
      </c>
      <c r="U100" s="179" t="str">
        <f t="shared" ca="1" si="48"/>
        <v/>
      </c>
      <c r="V100" s="180">
        <f t="shared" ca="1" si="40"/>
        <v>3.57</v>
      </c>
      <c r="W100" s="181">
        <f t="shared" ca="1" si="67"/>
        <v>230</v>
      </c>
      <c r="X100" s="177">
        <f t="shared" ca="1" si="49"/>
        <v>16837.915345352565</v>
      </c>
      <c r="Y100" s="12">
        <f t="shared" ca="1" si="50"/>
        <v>8633.3031658653872</v>
      </c>
      <c r="Z100" s="182">
        <f t="shared" ca="1" si="51"/>
        <v>1878856.1891025645</v>
      </c>
      <c r="AA100" s="271">
        <f t="shared" ca="1" si="68"/>
        <v>0.22</v>
      </c>
      <c r="AB100" s="12">
        <f t="shared" ca="1" si="52"/>
        <v>14976.808648862174</v>
      </c>
      <c r="AC100" s="12">
        <f t="shared" ca="1" si="53"/>
        <v>14976.808648862181</v>
      </c>
      <c r="AD100" s="199"/>
      <c r="AE100" s="273">
        <f t="shared" ca="1" si="54"/>
        <v>1.6821425527395739E-3</v>
      </c>
      <c r="AF100" s="184">
        <f t="shared" ca="1" si="55"/>
        <v>0.87105354096445142</v>
      </c>
      <c r="AG100" s="12">
        <f t="shared" ca="1" si="56"/>
        <v>13045.602205938418</v>
      </c>
      <c r="AH100" s="12">
        <f t="shared" ca="1" si="57"/>
        <v>13045.602205938425</v>
      </c>
      <c r="AI100" s="185">
        <f t="shared" ca="1" si="58"/>
        <v>49</v>
      </c>
      <c r="AJ100" s="177">
        <f t="shared" ca="1" si="59"/>
        <v>49</v>
      </c>
      <c r="AK100" s="12">
        <f t="shared" ca="1" si="60"/>
        <v>-16886.915345352565</v>
      </c>
      <c r="AL100" s="185">
        <f t="shared" ca="1" si="69"/>
        <v>16837.915345352565</v>
      </c>
      <c r="AM100" s="177">
        <f t="shared" ca="1" si="70"/>
        <v>16875.451446073719</v>
      </c>
      <c r="AN100" s="177">
        <f t="shared" ca="1" si="71"/>
        <v>13281.803409271441</v>
      </c>
      <c r="AO100" s="196">
        <f t="shared" ca="1" si="72"/>
        <v>230</v>
      </c>
      <c r="AP100" s="196">
        <f t="shared" ca="1" si="73"/>
        <v>157</v>
      </c>
      <c r="AQ100" s="177">
        <f t="shared" ca="1" si="74"/>
        <v>0</v>
      </c>
      <c r="AR100" s="177">
        <f t="shared" ca="1" si="75"/>
        <v>37.536100721154071</v>
      </c>
      <c r="AS100" s="189"/>
      <c r="AT100" s="190"/>
      <c r="AU100" s="200"/>
    </row>
    <row r="101" spans="1:47" x14ac:dyDescent="0.6">
      <c r="A101" s="152" t="str">
        <f t="shared" ca="1" si="41"/>
        <v>Desember 2031</v>
      </c>
      <c r="B101" s="191">
        <v>0</v>
      </c>
      <c r="C101" s="270">
        <f t="shared" ca="1" si="61"/>
        <v>5.4899999999999997E-2</v>
      </c>
      <c r="D101" s="192" t="str">
        <f t="shared" ca="1" si="62"/>
        <v/>
      </c>
      <c r="E101" s="193" t="str">
        <f t="shared" ca="1" si="63"/>
        <v/>
      </c>
      <c r="F101" s="194">
        <f t="shared" ca="1" si="64"/>
        <v>49</v>
      </c>
      <c r="G101" s="14">
        <v>84</v>
      </c>
      <c r="H101" s="157">
        <f t="shared" ca="1" si="65"/>
        <v>229</v>
      </c>
      <c r="I101" s="16">
        <f t="shared" ca="1" si="66"/>
        <v>16800.379244631411</v>
      </c>
      <c r="J101" s="16">
        <f t="shared" ca="1" si="42"/>
        <v>8595.7670651442659</v>
      </c>
      <c r="K101" s="158">
        <f t="shared" ca="1" si="43"/>
        <v>8204.6121794871451</v>
      </c>
      <c r="L101" s="158">
        <f t="shared" ca="1" si="44"/>
        <v>1870651.5769230844</v>
      </c>
      <c r="M101" s="15">
        <f t="shared" ca="1" si="45"/>
        <v>-3.2741809263825417E-11</v>
      </c>
      <c r="N101" s="16">
        <f ca="1">IF(Y101=0, 0, ROUND(SUM(Y$17:Y101)-SUM(J$17:J101),0))</f>
        <v>0</v>
      </c>
      <c r="O101" s="16" t="str">
        <f t="shared" ca="1" si="46"/>
        <v/>
      </c>
      <c r="P101" s="16" t="str">
        <f t="shared" ca="1" si="47"/>
        <v/>
      </c>
      <c r="Q101" s="160">
        <f t="shared" ca="1" si="76"/>
        <v>5000000</v>
      </c>
      <c r="R101" s="160">
        <f t="shared" ca="1" si="76"/>
        <v>0</v>
      </c>
      <c r="S101" s="160">
        <f t="shared" ca="1" si="76"/>
        <v>358488</v>
      </c>
      <c r="T101" s="160">
        <f t="shared" ca="1" si="76"/>
        <v>628000</v>
      </c>
      <c r="U101" s="161" t="str">
        <f t="shared" ca="1" si="48"/>
        <v/>
      </c>
      <c r="V101" s="162">
        <f t="shared" ca="1" si="40"/>
        <v>3.55</v>
      </c>
      <c r="W101" s="195">
        <f t="shared" ca="1" si="67"/>
        <v>229</v>
      </c>
      <c r="X101" s="158">
        <f t="shared" ca="1" si="49"/>
        <v>16800.379244631411</v>
      </c>
      <c r="Y101" s="16">
        <f t="shared" ca="1" si="50"/>
        <v>8595.7670651442331</v>
      </c>
      <c r="Z101" s="164">
        <f t="shared" ca="1" si="51"/>
        <v>1870651.5769230772</v>
      </c>
      <c r="AA101" s="272">
        <f t="shared" ca="1" si="68"/>
        <v>0.22</v>
      </c>
      <c r="AB101" s="16">
        <f t="shared" ca="1" si="52"/>
        <v>14947.530490299672</v>
      </c>
      <c r="AC101" s="16">
        <f t="shared" ca="1" si="53"/>
        <v>14947.53049029968</v>
      </c>
      <c r="AD101" s="197"/>
      <c r="AE101" s="274">
        <f t="shared" ca="1" si="54"/>
        <v>1.6821425527395739E-3</v>
      </c>
      <c r="AF101" s="166">
        <f t="shared" ca="1" si="55"/>
        <v>0.86958830473748061</v>
      </c>
      <c r="AG101" s="16">
        <f t="shared" ca="1" si="56"/>
        <v>12998.197699071494</v>
      </c>
      <c r="AH101" s="16">
        <f t="shared" ca="1" si="57"/>
        <v>12998.197699071501</v>
      </c>
      <c r="AI101" s="168">
        <f t="shared" ca="1" si="58"/>
        <v>49</v>
      </c>
      <c r="AJ101" s="158">
        <f t="shared" ca="1" si="59"/>
        <v>49</v>
      </c>
      <c r="AK101" s="16">
        <f t="shared" ca="1" si="60"/>
        <v>-16849.379244631411</v>
      </c>
      <c r="AL101" s="168">
        <f t="shared" ca="1" si="69"/>
        <v>16800.379244631411</v>
      </c>
      <c r="AM101" s="158">
        <f t="shared" ca="1" si="70"/>
        <v>16837.915345352565</v>
      </c>
      <c r="AN101" s="158">
        <f t="shared" ca="1" si="71"/>
        <v>13256.712423831994</v>
      </c>
      <c r="AO101" s="169">
        <f t="shared" ca="1" si="72"/>
        <v>229</v>
      </c>
      <c r="AP101" s="169">
        <f t="shared" ca="1" si="73"/>
        <v>157</v>
      </c>
      <c r="AQ101" s="158">
        <f t="shared" ca="1" si="74"/>
        <v>0</v>
      </c>
      <c r="AR101" s="158">
        <f t="shared" ca="1" si="75"/>
        <v>37.536100721154071</v>
      </c>
      <c r="AS101" s="170"/>
      <c r="AT101" s="159"/>
      <c r="AU101" s="159"/>
    </row>
    <row r="102" spans="1:47" x14ac:dyDescent="0.6">
      <c r="A102" s="171" t="str">
        <f t="shared" ca="1" si="41"/>
        <v>Januar 2032</v>
      </c>
      <c r="B102" s="191">
        <v>0</v>
      </c>
      <c r="C102" s="269">
        <f t="shared" ca="1" si="61"/>
        <v>5.4899999999999997E-2</v>
      </c>
      <c r="D102" s="173" t="str">
        <f t="shared" ca="1" si="62"/>
        <v/>
      </c>
      <c r="E102" s="174" t="str">
        <f t="shared" ca="1" si="63"/>
        <v/>
      </c>
      <c r="F102" s="175">
        <f t="shared" ca="1" si="64"/>
        <v>49</v>
      </c>
      <c r="G102" s="10">
        <v>85</v>
      </c>
      <c r="H102" s="176">
        <f t="shared" ca="1" si="65"/>
        <v>228</v>
      </c>
      <c r="I102" s="12">
        <f t="shared" ca="1" si="66"/>
        <v>16762.843143910257</v>
      </c>
      <c r="J102" s="12">
        <f t="shared" ca="1" si="42"/>
        <v>8558.2309644231118</v>
      </c>
      <c r="K102" s="177">
        <f t="shared" ca="1" si="43"/>
        <v>8204.6121794871451</v>
      </c>
      <c r="L102" s="177">
        <f t="shared" ca="1" si="44"/>
        <v>1862446.9647435972</v>
      </c>
      <c r="M102" s="11">
        <f t="shared" ca="1" si="45"/>
        <v>-3.2741809263825417E-11</v>
      </c>
      <c r="N102" s="12">
        <f ca="1">IF(Y102=0, 0, ROUND(SUM(Y$17:Y102)-SUM(J$17:J102),0))</f>
        <v>0</v>
      </c>
      <c r="O102" s="12" t="str">
        <f t="shared" ca="1" si="46"/>
        <v/>
      </c>
      <c r="P102" s="12">
        <f t="shared" ca="1" si="47"/>
        <v>3130000</v>
      </c>
      <c r="Q102" s="178">
        <f t="shared" ca="1" si="76"/>
        <v>5000000</v>
      </c>
      <c r="R102" s="178">
        <f t="shared" ca="1" si="76"/>
        <v>0</v>
      </c>
      <c r="S102" s="178">
        <f t="shared" ca="1" si="76"/>
        <v>358488</v>
      </c>
      <c r="T102" s="178">
        <f t="shared" ca="1" si="76"/>
        <v>628000</v>
      </c>
      <c r="U102" s="179" t="str">
        <f t="shared" ca="1" si="48"/>
        <v/>
      </c>
      <c r="V102" s="180">
        <f t="shared" ca="1" si="40"/>
        <v>3.5399999999999996</v>
      </c>
      <c r="W102" s="181">
        <f t="shared" ca="1" si="67"/>
        <v>228</v>
      </c>
      <c r="X102" s="177">
        <f t="shared" ca="1" si="49"/>
        <v>16762.843143910257</v>
      </c>
      <c r="Y102" s="12">
        <f t="shared" ca="1" si="50"/>
        <v>8558.2309644230791</v>
      </c>
      <c r="Z102" s="182">
        <f t="shared" ca="1" si="51"/>
        <v>1862446.9647435902</v>
      </c>
      <c r="AA102" s="271">
        <f t="shared" ca="1" si="68"/>
        <v>0.22</v>
      </c>
      <c r="AB102" s="12">
        <f t="shared" ca="1" si="52"/>
        <v>14918.252331737172</v>
      </c>
      <c r="AC102" s="12">
        <f t="shared" ca="1" si="53"/>
        <v>14918.25233173718</v>
      </c>
      <c r="AD102" s="199"/>
      <c r="AE102" s="273">
        <f t="shared" ca="1" si="54"/>
        <v>1.6821425527395739E-3</v>
      </c>
      <c r="AF102" s="184">
        <f t="shared" ca="1" si="55"/>
        <v>0.86812553324671704</v>
      </c>
      <c r="AG102" s="12">
        <f t="shared" ca="1" si="56"/>
        <v>12950.915760598413</v>
      </c>
      <c r="AH102" s="12">
        <f t="shared" ca="1" si="57"/>
        <v>12950.915760598418</v>
      </c>
      <c r="AI102" s="185">
        <f t="shared" ca="1" si="58"/>
        <v>49</v>
      </c>
      <c r="AJ102" s="177">
        <f t="shared" ca="1" si="59"/>
        <v>49</v>
      </c>
      <c r="AK102" s="12">
        <f t="shared" ca="1" si="60"/>
        <v>-16811.843143910257</v>
      </c>
      <c r="AL102" s="185">
        <f t="shared" ca="1" si="69"/>
        <v>16762.843143910257</v>
      </c>
      <c r="AM102" s="177">
        <f t="shared" ca="1" si="70"/>
        <v>16800.379244631411</v>
      </c>
      <c r="AN102" s="177">
        <f t="shared" ca="1" si="71"/>
        <v>13231.647067313761</v>
      </c>
      <c r="AO102" s="196">
        <f t="shared" ca="1" si="72"/>
        <v>228</v>
      </c>
      <c r="AP102" s="196">
        <f t="shared" ca="1" si="73"/>
        <v>157</v>
      </c>
      <c r="AQ102" s="177">
        <f t="shared" ca="1" si="74"/>
        <v>0</v>
      </c>
      <c r="AR102" s="177">
        <f t="shared" ca="1" si="75"/>
        <v>37.536100721154071</v>
      </c>
      <c r="AS102" s="189"/>
      <c r="AT102" s="190"/>
      <c r="AU102" s="190"/>
    </row>
    <row r="103" spans="1:47" x14ac:dyDescent="0.6">
      <c r="A103" s="152" t="str">
        <f t="shared" ca="1" si="41"/>
        <v>Februar 2032</v>
      </c>
      <c r="B103" s="191">
        <v>0</v>
      </c>
      <c r="C103" s="270">
        <f t="shared" ca="1" si="61"/>
        <v>5.4899999999999997E-2</v>
      </c>
      <c r="D103" s="192" t="str">
        <f t="shared" ca="1" si="62"/>
        <v/>
      </c>
      <c r="E103" s="193" t="str">
        <f t="shared" ca="1" si="63"/>
        <v/>
      </c>
      <c r="F103" s="194">
        <f t="shared" ca="1" si="64"/>
        <v>49</v>
      </c>
      <c r="G103" s="14">
        <v>86</v>
      </c>
      <c r="H103" s="157">
        <f t="shared" ca="1" si="65"/>
        <v>227</v>
      </c>
      <c r="I103" s="16">
        <f t="shared" ca="1" si="66"/>
        <v>16725.307043189103</v>
      </c>
      <c r="J103" s="16">
        <f t="shared" ca="1" si="42"/>
        <v>8520.6948637019577</v>
      </c>
      <c r="K103" s="158">
        <f t="shared" ca="1" si="43"/>
        <v>8204.6121794871451</v>
      </c>
      <c r="L103" s="158">
        <f t="shared" ca="1" si="44"/>
        <v>1854242.35256411</v>
      </c>
      <c r="M103" s="15">
        <f t="shared" ca="1" si="45"/>
        <v>-3.2741809263825417E-11</v>
      </c>
      <c r="N103" s="16">
        <f ca="1">IF(Y103=0, 0, ROUND(SUM(Y$17:Y103)-SUM(J$17:J103),0))</f>
        <v>0</v>
      </c>
      <c r="O103" s="16" t="str">
        <f t="shared" ca="1" si="46"/>
        <v/>
      </c>
      <c r="P103" s="16">
        <f t="shared" ca="1" si="47"/>
        <v>3140000</v>
      </c>
      <c r="Q103" s="160">
        <f t="shared" ca="1" si="76"/>
        <v>5000000</v>
      </c>
      <c r="R103" s="160">
        <f t="shared" ca="1" si="76"/>
        <v>0</v>
      </c>
      <c r="S103" s="160">
        <f t="shared" ca="1" si="76"/>
        <v>358488</v>
      </c>
      <c r="T103" s="160">
        <f t="shared" ca="1" si="76"/>
        <v>628000</v>
      </c>
      <c r="U103" s="161" t="str">
        <f t="shared" ca="1" si="48"/>
        <v/>
      </c>
      <c r="V103" s="162">
        <f t="shared" ca="1" si="40"/>
        <v>3.53</v>
      </c>
      <c r="W103" s="195">
        <f t="shared" ca="1" si="67"/>
        <v>227</v>
      </c>
      <c r="X103" s="158">
        <f t="shared" ca="1" si="49"/>
        <v>16725.307043189103</v>
      </c>
      <c r="Y103" s="16">
        <f t="shared" ca="1" si="50"/>
        <v>8520.694863701925</v>
      </c>
      <c r="Z103" s="164">
        <f t="shared" ca="1" si="51"/>
        <v>1854242.352564103</v>
      </c>
      <c r="AA103" s="272">
        <f t="shared" ca="1" si="68"/>
        <v>0.22</v>
      </c>
      <c r="AB103" s="16">
        <f t="shared" ca="1" si="52"/>
        <v>14888.974173174673</v>
      </c>
      <c r="AC103" s="16">
        <f t="shared" ca="1" si="53"/>
        <v>14888.97417317468</v>
      </c>
      <c r="AD103" s="197"/>
      <c r="AE103" s="274">
        <f t="shared" ca="1" si="54"/>
        <v>1.6821425527395739E-3</v>
      </c>
      <c r="AF103" s="166">
        <f t="shared" ca="1" si="55"/>
        <v>0.86666522234612298</v>
      </c>
      <c r="AG103" s="16">
        <f t="shared" ca="1" si="56"/>
        <v>12903.756112300111</v>
      </c>
      <c r="AH103" s="16">
        <f t="shared" ca="1" si="57"/>
        <v>12903.756112300116</v>
      </c>
      <c r="AI103" s="168">
        <f t="shared" ca="1" si="58"/>
        <v>49</v>
      </c>
      <c r="AJ103" s="158">
        <f t="shared" ca="1" si="59"/>
        <v>49</v>
      </c>
      <c r="AK103" s="16">
        <f t="shared" ca="1" si="60"/>
        <v>-16774.307043189103</v>
      </c>
      <c r="AL103" s="168">
        <f t="shared" ca="1" si="69"/>
        <v>16725.307043189103</v>
      </c>
      <c r="AM103" s="158">
        <f t="shared" ca="1" si="70"/>
        <v>16762.843143910257</v>
      </c>
      <c r="AN103" s="158">
        <f t="shared" ca="1" si="71"/>
        <v>13206.607363638735</v>
      </c>
      <c r="AO103" s="169">
        <f t="shared" ca="1" si="72"/>
        <v>227</v>
      </c>
      <c r="AP103" s="169">
        <f t="shared" ca="1" si="73"/>
        <v>156</v>
      </c>
      <c r="AQ103" s="158">
        <f t="shared" ca="1" si="74"/>
        <v>0</v>
      </c>
      <c r="AR103" s="158">
        <f t="shared" ca="1" si="75"/>
        <v>37.536100721154071</v>
      </c>
      <c r="AS103" s="170"/>
      <c r="AT103" s="159"/>
      <c r="AU103" s="159"/>
    </row>
    <row r="104" spans="1:47" x14ac:dyDescent="0.6">
      <c r="A104" s="171" t="str">
        <f t="shared" ca="1" si="41"/>
        <v>Mars 2032</v>
      </c>
      <c r="B104" s="191">
        <v>0</v>
      </c>
      <c r="C104" s="269">
        <f t="shared" ca="1" si="61"/>
        <v>5.4899999999999997E-2</v>
      </c>
      <c r="D104" s="173" t="str">
        <f t="shared" ca="1" si="62"/>
        <v/>
      </c>
      <c r="E104" s="174" t="str">
        <f t="shared" ca="1" si="63"/>
        <v/>
      </c>
      <c r="F104" s="175">
        <f t="shared" ca="1" si="64"/>
        <v>49</v>
      </c>
      <c r="G104" s="10">
        <v>87</v>
      </c>
      <c r="H104" s="176">
        <f t="shared" ca="1" si="65"/>
        <v>226</v>
      </c>
      <c r="I104" s="12">
        <f t="shared" ca="1" si="66"/>
        <v>16687.770942467949</v>
      </c>
      <c r="J104" s="12">
        <f t="shared" ca="1" si="42"/>
        <v>8483.1587629808037</v>
      </c>
      <c r="K104" s="177">
        <f t="shared" ca="1" si="43"/>
        <v>8204.6121794871451</v>
      </c>
      <c r="L104" s="177">
        <f t="shared" ca="1" si="44"/>
        <v>1846037.7403846227</v>
      </c>
      <c r="M104" s="11">
        <f t="shared" ca="1" si="45"/>
        <v>-3.2741809263825417E-11</v>
      </c>
      <c r="N104" s="12">
        <f ca="1">IF(Y104=0, 0, ROUND(SUM(Y$17:Y104)-SUM(J$17:J104),0))</f>
        <v>0</v>
      </c>
      <c r="O104" s="12" t="str">
        <f t="shared" ca="1" si="46"/>
        <v/>
      </c>
      <c r="P104" s="12">
        <f t="shared" ca="1" si="47"/>
        <v>3150000</v>
      </c>
      <c r="Q104" s="178">
        <f t="shared" ca="1" si="76"/>
        <v>5000000</v>
      </c>
      <c r="R104" s="178">
        <f t="shared" ca="1" si="76"/>
        <v>0</v>
      </c>
      <c r="S104" s="178">
        <f t="shared" ca="1" si="76"/>
        <v>358488</v>
      </c>
      <c r="T104" s="178">
        <f t="shared" ca="1" si="76"/>
        <v>628000</v>
      </c>
      <c r="U104" s="179" t="str">
        <f t="shared" ca="1" si="48"/>
        <v/>
      </c>
      <c r="V104" s="180">
        <f t="shared" ca="1" si="40"/>
        <v>3.5199999999999996</v>
      </c>
      <c r="W104" s="181">
        <f t="shared" ca="1" si="67"/>
        <v>226</v>
      </c>
      <c r="X104" s="177">
        <f t="shared" ca="1" si="49"/>
        <v>16687.770942467949</v>
      </c>
      <c r="Y104" s="12">
        <f t="shared" ca="1" si="50"/>
        <v>8483.1587629807709</v>
      </c>
      <c r="Z104" s="182">
        <f t="shared" ca="1" si="51"/>
        <v>1846037.7403846157</v>
      </c>
      <c r="AA104" s="271">
        <f t="shared" ca="1" si="68"/>
        <v>0.22</v>
      </c>
      <c r="AB104" s="12">
        <f t="shared" ca="1" si="52"/>
        <v>14859.696014612171</v>
      </c>
      <c r="AC104" s="12">
        <f t="shared" ca="1" si="53"/>
        <v>14859.696014612178</v>
      </c>
      <c r="AD104" s="199"/>
      <c r="AE104" s="273">
        <f t="shared" ca="1" si="54"/>
        <v>1.6821425527395739E-3</v>
      </c>
      <c r="AF104" s="184">
        <f t="shared" ca="1" si="55"/>
        <v>0.8652073678966351</v>
      </c>
      <c r="AG104" s="12">
        <f t="shared" ca="1" si="56"/>
        <v>12856.718476546715</v>
      </c>
      <c r="AH104" s="12">
        <f t="shared" ca="1" si="57"/>
        <v>12856.718476546721</v>
      </c>
      <c r="AI104" s="185">
        <f t="shared" ca="1" si="58"/>
        <v>49</v>
      </c>
      <c r="AJ104" s="177">
        <f t="shared" ca="1" si="59"/>
        <v>49</v>
      </c>
      <c r="AK104" s="12">
        <f t="shared" ca="1" si="60"/>
        <v>-16736.770942467949</v>
      </c>
      <c r="AL104" s="185">
        <f t="shared" ca="1" si="69"/>
        <v>16687.770942467949</v>
      </c>
      <c r="AM104" s="177">
        <f t="shared" ca="1" si="70"/>
        <v>16725.307043189103</v>
      </c>
      <c r="AN104" s="177">
        <f t="shared" ca="1" si="71"/>
        <v>13181.593336650571</v>
      </c>
      <c r="AO104" s="196">
        <f t="shared" ca="1" si="72"/>
        <v>226</v>
      </c>
      <c r="AP104" s="196">
        <f t="shared" ca="1" si="73"/>
        <v>156</v>
      </c>
      <c r="AQ104" s="177">
        <f t="shared" ca="1" si="74"/>
        <v>0</v>
      </c>
      <c r="AR104" s="177">
        <f t="shared" ca="1" si="75"/>
        <v>37.536100721154071</v>
      </c>
      <c r="AS104" s="189"/>
      <c r="AT104" s="190"/>
      <c r="AU104" s="190"/>
    </row>
    <row r="105" spans="1:47" x14ac:dyDescent="0.6">
      <c r="A105" s="152" t="str">
        <f t="shared" ca="1" si="41"/>
        <v>April 2032</v>
      </c>
      <c r="B105" s="191">
        <v>0</v>
      </c>
      <c r="C105" s="270">
        <f t="shared" ca="1" si="61"/>
        <v>5.4899999999999997E-2</v>
      </c>
      <c r="D105" s="192" t="str">
        <f t="shared" ca="1" si="62"/>
        <v/>
      </c>
      <c r="E105" s="193" t="str">
        <f t="shared" ca="1" si="63"/>
        <v/>
      </c>
      <c r="F105" s="194">
        <f t="shared" ca="1" si="64"/>
        <v>49</v>
      </c>
      <c r="G105" s="14">
        <v>88</v>
      </c>
      <c r="H105" s="157">
        <f t="shared" ca="1" si="65"/>
        <v>225</v>
      </c>
      <c r="I105" s="16">
        <f t="shared" ca="1" si="66"/>
        <v>16650.234841746795</v>
      </c>
      <c r="J105" s="16">
        <f t="shared" ca="1" si="42"/>
        <v>8445.6226622596496</v>
      </c>
      <c r="K105" s="158">
        <f t="shared" ca="1" si="43"/>
        <v>8204.6121794871451</v>
      </c>
      <c r="L105" s="158">
        <f t="shared" ca="1" si="44"/>
        <v>1837833.1282051355</v>
      </c>
      <c r="M105" s="15">
        <f t="shared" ca="1" si="45"/>
        <v>-3.2741809263825417E-11</v>
      </c>
      <c r="N105" s="16">
        <f ca="1">IF(Y105=0, 0, ROUND(SUM(Y$17:Y105)-SUM(J$17:J105),0))</f>
        <v>0</v>
      </c>
      <c r="O105" s="16" t="str">
        <f t="shared" ca="1" si="46"/>
        <v/>
      </c>
      <c r="P105" s="16">
        <f t="shared" ca="1" si="47"/>
        <v>3160000</v>
      </c>
      <c r="Q105" s="160">
        <f t="shared" ca="1" si="76"/>
        <v>5000000</v>
      </c>
      <c r="R105" s="160">
        <f t="shared" ca="1" si="76"/>
        <v>0</v>
      </c>
      <c r="S105" s="160">
        <f t="shared" ca="1" si="76"/>
        <v>358488</v>
      </c>
      <c r="T105" s="160">
        <f t="shared" ca="1" si="76"/>
        <v>628000</v>
      </c>
      <c r="U105" s="161" t="str">
        <f t="shared" ca="1" si="48"/>
        <v/>
      </c>
      <c r="V105" s="162">
        <f t="shared" ca="1" si="40"/>
        <v>3.5</v>
      </c>
      <c r="W105" s="195">
        <f t="shared" ca="1" si="67"/>
        <v>225</v>
      </c>
      <c r="X105" s="158">
        <f t="shared" ca="1" si="49"/>
        <v>16650.234841746795</v>
      </c>
      <c r="Y105" s="16">
        <f t="shared" ca="1" si="50"/>
        <v>8445.6226622596168</v>
      </c>
      <c r="Z105" s="164">
        <f t="shared" ca="1" si="51"/>
        <v>1837833.1282051287</v>
      </c>
      <c r="AA105" s="272">
        <f t="shared" ca="1" si="68"/>
        <v>0.22</v>
      </c>
      <c r="AB105" s="16">
        <f t="shared" ca="1" si="52"/>
        <v>14830.417856049673</v>
      </c>
      <c r="AC105" s="16">
        <f t="shared" ca="1" si="53"/>
        <v>14830.41785604968</v>
      </c>
      <c r="AD105" s="197"/>
      <c r="AE105" s="274">
        <f t="shared" ca="1" si="54"/>
        <v>1.6821425527395739E-3</v>
      </c>
      <c r="AF105" s="166">
        <f t="shared" ca="1" si="55"/>
        <v>0.86375196576615232</v>
      </c>
      <c r="AG105" s="16">
        <f t="shared" ca="1" si="56"/>
        <v>12809.802576296352</v>
      </c>
      <c r="AH105" s="16">
        <f t="shared" ca="1" si="57"/>
        <v>12809.802576296357</v>
      </c>
      <c r="AI105" s="168">
        <f t="shared" ca="1" si="58"/>
        <v>49</v>
      </c>
      <c r="AJ105" s="158">
        <f t="shared" ca="1" si="59"/>
        <v>49</v>
      </c>
      <c r="AK105" s="16">
        <f t="shared" ca="1" si="60"/>
        <v>-16699.234841746795</v>
      </c>
      <c r="AL105" s="168">
        <f t="shared" ca="1" si="69"/>
        <v>16650.234841746795</v>
      </c>
      <c r="AM105" s="158">
        <f t="shared" ca="1" si="70"/>
        <v>16687.770942467949</v>
      </c>
      <c r="AN105" s="158">
        <f t="shared" ca="1" si="71"/>
        <v>13156.605010114279</v>
      </c>
      <c r="AO105" s="169">
        <f t="shared" ca="1" si="72"/>
        <v>225</v>
      </c>
      <c r="AP105" s="169">
        <f t="shared" ca="1" si="73"/>
        <v>155</v>
      </c>
      <c r="AQ105" s="158">
        <f t="shared" ca="1" si="74"/>
        <v>0</v>
      </c>
      <c r="AR105" s="158">
        <f t="shared" ca="1" si="75"/>
        <v>37.536100721154071</v>
      </c>
      <c r="AS105" s="170"/>
      <c r="AT105" s="159"/>
      <c r="AU105" s="159"/>
    </row>
    <row r="106" spans="1:47" x14ac:dyDescent="0.6">
      <c r="A106" s="171" t="str">
        <f t="shared" ca="1" si="41"/>
        <v>Mai 2032</v>
      </c>
      <c r="B106" s="191">
        <v>0</v>
      </c>
      <c r="C106" s="269">
        <f t="shared" ca="1" si="61"/>
        <v>5.4899999999999997E-2</v>
      </c>
      <c r="D106" s="173" t="str">
        <f t="shared" ca="1" si="62"/>
        <v/>
      </c>
      <c r="E106" s="174" t="str">
        <f t="shared" ca="1" si="63"/>
        <v/>
      </c>
      <c r="F106" s="175">
        <f t="shared" ca="1" si="64"/>
        <v>49</v>
      </c>
      <c r="G106" s="10">
        <v>89</v>
      </c>
      <c r="H106" s="176">
        <f t="shared" ca="1" si="65"/>
        <v>224</v>
      </c>
      <c r="I106" s="12">
        <f t="shared" ca="1" si="66"/>
        <v>16612.698741025641</v>
      </c>
      <c r="J106" s="12">
        <f t="shared" ca="1" si="42"/>
        <v>8408.0865615384955</v>
      </c>
      <c r="K106" s="177">
        <f t="shared" ca="1" si="43"/>
        <v>8204.6121794871451</v>
      </c>
      <c r="L106" s="177">
        <f t="shared" ca="1" si="44"/>
        <v>1829628.5160256482</v>
      </c>
      <c r="M106" s="11">
        <f t="shared" ca="1" si="45"/>
        <v>-3.2741809263825417E-11</v>
      </c>
      <c r="N106" s="12">
        <f ca="1">IF(Y106=0, 0, ROUND(SUM(Y$17:Y106)-SUM(J$17:J106),0))</f>
        <v>0</v>
      </c>
      <c r="O106" s="12" t="str">
        <f t="shared" ca="1" si="46"/>
        <v/>
      </c>
      <c r="P106" s="12">
        <f t="shared" ca="1" si="47"/>
        <v>3170000</v>
      </c>
      <c r="Q106" s="178">
        <f t="shared" ca="1" si="76"/>
        <v>5000000</v>
      </c>
      <c r="R106" s="178">
        <f t="shared" ca="1" si="76"/>
        <v>0</v>
      </c>
      <c r="S106" s="178">
        <f t="shared" ca="1" si="76"/>
        <v>358488</v>
      </c>
      <c r="T106" s="178">
        <f t="shared" ca="1" si="76"/>
        <v>628000</v>
      </c>
      <c r="U106" s="179" t="str">
        <f t="shared" ca="1" si="48"/>
        <v/>
      </c>
      <c r="V106" s="180">
        <f t="shared" ca="1" si="40"/>
        <v>3.4899999999999998</v>
      </c>
      <c r="W106" s="181">
        <f t="shared" ca="1" si="67"/>
        <v>224</v>
      </c>
      <c r="X106" s="177">
        <f t="shared" ca="1" si="49"/>
        <v>16612.698741025641</v>
      </c>
      <c r="Y106" s="12">
        <f t="shared" ca="1" si="50"/>
        <v>8408.0865615384628</v>
      </c>
      <c r="Z106" s="182">
        <f t="shared" ca="1" si="51"/>
        <v>1829628.5160256415</v>
      </c>
      <c r="AA106" s="271">
        <f t="shared" ca="1" si="68"/>
        <v>0.22</v>
      </c>
      <c r="AB106" s="12">
        <f t="shared" ca="1" si="52"/>
        <v>14801.139697487171</v>
      </c>
      <c r="AC106" s="12">
        <f t="shared" ca="1" si="53"/>
        <v>14801.139697487179</v>
      </c>
      <c r="AD106" s="199"/>
      <c r="AE106" s="273">
        <f t="shared" ca="1" si="54"/>
        <v>1.6821425527395739E-3</v>
      </c>
      <c r="AF106" s="184">
        <f t="shared" ca="1" si="55"/>
        <v>0.86229901182952462</v>
      </c>
      <c r="AG106" s="12">
        <f t="shared" ca="1" si="56"/>
        <v>12763.008135093936</v>
      </c>
      <c r="AH106" s="12">
        <f t="shared" ca="1" si="57"/>
        <v>12763.008135093944</v>
      </c>
      <c r="AI106" s="185">
        <f t="shared" ca="1" si="58"/>
        <v>49</v>
      </c>
      <c r="AJ106" s="177">
        <f t="shared" ca="1" si="59"/>
        <v>49</v>
      </c>
      <c r="AK106" s="12">
        <f t="shared" ca="1" si="60"/>
        <v>-16661.698741025641</v>
      </c>
      <c r="AL106" s="185">
        <f t="shared" ca="1" si="69"/>
        <v>16612.698741025641</v>
      </c>
      <c r="AM106" s="177">
        <f t="shared" ca="1" si="70"/>
        <v>16650.234841746795</v>
      </c>
      <c r="AN106" s="177">
        <f t="shared" ca="1" si="71"/>
        <v>13131.642407715914</v>
      </c>
      <c r="AO106" s="196">
        <f t="shared" ca="1" si="72"/>
        <v>224</v>
      </c>
      <c r="AP106" s="196">
        <f t="shared" ca="1" si="73"/>
        <v>155</v>
      </c>
      <c r="AQ106" s="177">
        <f t="shared" ca="1" si="74"/>
        <v>0</v>
      </c>
      <c r="AR106" s="177">
        <f t="shared" ca="1" si="75"/>
        <v>37.536100721154071</v>
      </c>
      <c r="AS106" s="189"/>
      <c r="AT106" s="190"/>
      <c r="AU106" s="190"/>
    </row>
    <row r="107" spans="1:47" x14ac:dyDescent="0.6">
      <c r="A107" s="152" t="str">
        <f t="shared" ca="1" si="41"/>
        <v>Juni 2032</v>
      </c>
      <c r="B107" s="191">
        <v>0</v>
      </c>
      <c r="C107" s="270">
        <f t="shared" ca="1" si="61"/>
        <v>5.4899999999999997E-2</v>
      </c>
      <c r="D107" s="192" t="str">
        <f t="shared" ca="1" si="62"/>
        <v/>
      </c>
      <c r="E107" s="193" t="str">
        <f t="shared" ca="1" si="63"/>
        <v/>
      </c>
      <c r="F107" s="194">
        <f t="shared" ca="1" si="64"/>
        <v>49</v>
      </c>
      <c r="G107" s="14">
        <v>90</v>
      </c>
      <c r="H107" s="157">
        <f t="shared" ca="1" si="65"/>
        <v>223</v>
      </c>
      <c r="I107" s="16">
        <f t="shared" ca="1" si="66"/>
        <v>16575.162640304487</v>
      </c>
      <c r="J107" s="16">
        <f t="shared" ca="1" si="42"/>
        <v>8370.5504608173396</v>
      </c>
      <c r="K107" s="158">
        <f t="shared" ca="1" si="43"/>
        <v>8204.6121794871469</v>
      </c>
      <c r="L107" s="158">
        <f t="shared" ca="1" si="44"/>
        <v>1821423.903846161</v>
      </c>
      <c r="M107" s="15">
        <f t="shared" ca="1" si="45"/>
        <v>-3.092281986027956E-11</v>
      </c>
      <c r="N107" s="16">
        <f ca="1">IF(Y107=0, 0, ROUND(SUM(Y$17:Y107)-SUM(J$17:J107),0))</f>
        <v>0</v>
      </c>
      <c r="O107" s="16" t="str">
        <f t="shared" ca="1" si="46"/>
        <v/>
      </c>
      <c r="P107" s="16" t="str">
        <f t="shared" ca="1" si="47"/>
        <v/>
      </c>
      <c r="Q107" s="160">
        <f t="shared" ca="1" si="76"/>
        <v>5000000</v>
      </c>
      <c r="R107" s="160">
        <f t="shared" ca="1" si="76"/>
        <v>0</v>
      </c>
      <c r="S107" s="160">
        <f t="shared" ca="1" si="76"/>
        <v>358488</v>
      </c>
      <c r="T107" s="160">
        <f t="shared" ca="1" si="76"/>
        <v>628000</v>
      </c>
      <c r="U107" s="161" t="str">
        <f t="shared" ca="1" si="48"/>
        <v/>
      </c>
      <c r="V107" s="162">
        <f t="shared" ca="1" si="40"/>
        <v>3.48</v>
      </c>
      <c r="W107" s="195">
        <f t="shared" ca="1" si="67"/>
        <v>223</v>
      </c>
      <c r="X107" s="158">
        <f t="shared" ca="1" si="49"/>
        <v>16575.162640304487</v>
      </c>
      <c r="Y107" s="16">
        <f t="shared" ca="1" si="50"/>
        <v>8370.5504608173087</v>
      </c>
      <c r="Z107" s="164">
        <f t="shared" ca="1" si="51"/>
        <v>1821423.9038461542</v>
      </c>
      <c r="AA107" s="272">
        <f t="shared" ca="1" si="68"/>
        <v>0.22</v>
      </c>
      <c r="AB107" s="16">
        <f t="shared" ca="1" si="52"/>
        <v>14771.861538924673</v>
      </c>
      <c r="AC107" s="16">
        <f t="shared" ca="1" si="53"/>
        <v>14771.861538924679</v>
      </c>
      <c r="AD107" s="197"/>
      <c r="AE107" s="274">
        <f t="shared" ca="1" si="54"/>
        <v>1.6821425527395739E-3</v>
      </c>
      <c r="AF107" s="166">
        <f t="shared" ca="1" si="55"/>
        <v>0.8608485019685409</v>
      </c>
      <c r="AG107" s="16">
        <f t="shared" ca="1" si="56"/>
        <v>12716.33487707001</v>
      </c>
      <c r="AH107" s="16">
        <f t="shared" ca="1" si="57"/>
        <v>12716.334877070016</v>
      </c>
      <c r="AI107" s="168">
        <f t="shared" ca="1" si="58"/>
        <v>49</v>
      </c>
      <c r="AJ107" s="158">
        <f t="shared" ca="1" si="59"/>
        <v>49</v>
      </c>
      <c r="AK107" s="16">
        <f t="shared" ca="1" si="60"/>
        <v>-16624.162640304487</v>
      </c>
      <c r="AL107" s="168">
        <f t="shared" ca="1" si="69"/>
        <v>16575.162640304487</v>
      </c>
      <c r="AM107" s="158">
        <f t="shared" ca="1" si="70"/>
        <v>16612.698741025641</v>
      </c>
      <c r="AN107" s="158">
        <f t="shared" ca="1" si="71"/>
        <v>13106.70555306226</v>
      </c>
      <c r="AO107" s="169">
        <f t="shared" ca="1" si="72"/>
        <v>223</v>
      </c>
      <c r="AP107" s="169">
        <f t="shared" ca="1" si="73"/>
        <v>154</v>
      </c>
      <c r="AQ107" s="158">
        <f t="shared" ca="1" si="74"/>
        <v>0</v>
      </c>
      <c r="AR107" s="158">
        <f t="shared" ca="1" si="75"/>
        <v>37.536100721154071</v>
      </c>
      <c r="AS107" s="170"/>
      <c r="AT107" s="159"/>
      <c r="AU107" s="159"/>
    </row>
    <row r="108" spans="1:47" x14ac:dyDescent="0.6">
      <c r="A108" s="171" t="str">
        <f t="shared" ca="1" si="41"/>
        <v>Juli 2032</v>
      </c>
      <c r="B108" s="191">
        <v>0</v>
      </c>
      <c r="C108" s="269">
        <f t="shared" ca="1" si="61"/>
        <v>5.4899999999999997E-2</v>
      </c>
      <c r="D108" s="173" t="str">
        <f t="shared" ca="1" si="62"/>
        <v/>
      </c>
      <c r="E108" s="174" t="str">
        <f t="shared" ca="1" si="63"/>
        <v/>
      </c>
      <c r="F108" s="175">
        <f t="shared" ca="1" si="64"/>
        <v>49</v>
      </c>
      <c r="G108" s="10">
        <v>91</v>
      </c>
      <c r="H108" s="176">
        <f t="shared" ca="1" si="65"/>
        <v>222</v>
      </c>
      <c r="I108" s="12">
        <f t="shared" ca="1" si="66"/>
        <v>16537.626539583332</v>
      </c>
      <c r="J108" s="12">
        <f t="shared" ca="1" si="42"/>
        <v>8333.0143600961856</v>
      </c>
      <c r="K108" s="177">
        <f t="shared" ca="1" si="43"/>
        <v>8204.6121794871469</v>
      </c>
      <c r="L108" s="177">
        <f t="shared" ca="1" si="44"/>
        <v>1813219.2916666737</v>
      </c>
      <c r="M108" s="11">
        <f t="shared" ca="1" si="45"/>
        <v>-3.092281986027956E-11</v>
      </c>
      <c r="N108" s="12">
        <f ca="1">IF(Y108=0, 0, ROUND(SUM(Y$17:Y108)-SUM(J$17:J108),0))</f>
        <v>0</v>
      </c>
      <c r="O108" s="12" t="str">
        <f t="shared" ca="1" si="46"/>
        <v/>
      </c>
      <c r="P108" s="12">
        <f t="shared" ca="1" si="47"/>
        <v>3180000</v>
      </c>
      <c r="Q108" s="178">
        <f t="shared" ca="1" si="76"/>
        <v>5000000</v>
      </c>
      <c r="R108" s="178">
        <f t="shared" ca="1" si="76"/>
        <v>0</v>
      </c>
      <c r="S108" s="178">
        <f t="shared" ca="1" si="76"/>
        <v>358488</v>
      </c>
      <c r="T108" s="178">
        <f t="shared" ca="1" si="76"/>
        <v>628000</v>
      </c>
      <c r="U108" s="179" t="str">
        <f t="shared" ca="1" si="48"/>
        <v/>
      </c>
      <c r="V108" s="180">
        <f t="shared" ca="1" si="40"/>
        <v>3.46</v>
      </c>
      <c r="W108" s="181">
        <f t="shared" ca="1" si="67"/>
        <v>222</v>
      </c>
      <c r="X108" s="177">
        <f t="shared" ca="1" si="49"/>
        <v>16537.626539583332</v>
      </c>
      <c r="Y108" s="12">
        <f t="shared" ca="1" si="50"/>
        <v>8333.0143600961546</v>
      </c>
      <c r="Z108" s="182">
        <f t="shared" ca="1" si="51"/>
        <v>1813219.291666667</v>
      </c>
      <c r="AA108" s="271">
        <f t="shared" ca="1" si="68"/>
        <v>0.22</v>
      </c>
      <c r="AB108" s="12">
        <f t="shared" ca="1" si="52"/>
        <v>14742.583380362172</v>
      </c>
      <c r="AC108" s="12">
        <f t="shared" ca="1" si="53"/>
        <v>14742.583380362179</v>
      </c>
      <c r="AD108" s="199"/>
      <c r="AE108" s="273">
        <f t="shared" ca="1" si="54"/>
        <v>1.6821425527395739E-3</v>
      </c>
      <c r="AF108" s="184">
        <f t="shared" ca="1" si="55"/>
        <v>0.85940043207191752</v>
      </c>
      <c r="AG108" s="12">
        <f t="shared" ca="1" si="56"/>
        <v>12669.782526939522</v>
      </c>
      <c r="AH108" s="12">
        <f t="shared" ca="1" si="57"/>
        <v>12669.782526939527</v>
      </c>
      <c r="AI108" s="185">
        <f t="shared" ca="1" si="58"/>
        <v>49</v>
      </c>
      <c r="AJ108" s="177">
        <f t="shared" ca="1" si="59"/>
        <v>49</v>
      </c>
      <c r="AK108" s="12">
        <f t="shared" ca="1" si="60"/>
        <v>-16586.626539583332</v>
      </c>
      <c r="AL108" s="185">
        <f t="shared" ca="1" si="69"/>
        <v>16537.626539583332</v>
      </c>
      <c r="AM108" s="177">
        <f t="shared" ca="1" si="70"/>
        <v>16575.162640304487</v>
      </c>
      <c r="AN108" s="177">
        <f t="shared" ca="1" si="71"/>
        <v>13081.794469680513</v>
      </c>
      <c r="AO108" s="196">
        <f t="shared" ca="1" si="72"/>
        <v>222</v>
      </c>
      <c r="AP108" s="196">
        <f t="shared" ca="1" si="73"/>
        <v>154</v>
      </c>
      <c r="AQ108" s="177">
        <f t="shared" ca="1" si="74"/>
        <v>0</v>
      </c>
      <c r="AR108" s="177">
        <f t="shared" ca="1" si="75"/>
        <v>37.536100721154071</v>
      </c>
      <c r="AS108" s="189"/>
      <c r="AT108" s="190"/>
      <c r="AU108" s="190"/>
    </row>
    <row r="109" spans="1:47" x14ac:dyDescent="0.6">
      <c r="A109" s="152" t="str">
        <f t="shared" ca="1" si="41"/>
        <v>August 2032</v>
      </c>
      <c r="B109" s="191">
        <v>0</v>
      </c>
      <c r="C109" s="270">
        <f t="shared" ca="1" si="61"/>
        <v>5.4899999999999997E-2</v>
      </c>
      <c r="D109" s="192" t="str">
        <f t="shared" ca="1" si="62"/>
        <v/>
      </c>
      <c r="E109" s="193" t="str">
        <f t="shared" ca="1" si="63"/>
        <v/>
      </c>
      <c r="F109" s="194">
        <f t="shared" ca="1" si="64"/>
        <v>49</v>
      </c>
      <c r="G109" s="14">
        <v>92</v>
      </c>
      <c r="H109" s="157">
        <f t="shared" ca="1" si="65"/>
        <v>221</v>
      </c>
      <c r="I109" s="16">
        <f t="shared" ca="1" si="66"/>
        <v>16500.090438862178</v>
      </c>
      <c r="J109" s="16">
        <f t="shared" ca="1" si="42"/>
        <v>8295.4782593750315</v>
      </c>
      <c r="K109" s="158">
        <f t="shared" ca="1" si="43"/>
        <v>8204.6121794871469</v>
      </c>
      <c r="L109" s="158">
        <f t="shared" ca="1" si="44"/>
        <v>1805014.6794871865</v>
      </c>
      <c r="M109" s="15">
        <f t="shared" ca="1" si="45"/>
        <v>-3.092281986027956E-11</v>
      </c>
      <c r="N109" s="16">
        <f ca="1">IF(Y109=0, 0, ROUND(SUM(Y$17:Y109)-SUM(J$17:J109),0))</f>
        <v>0</v>
      </c>
      <c r="O109" s="16" t="str">
        <f t="shared" ca="1" si="46"/>
        <v/>
      </c>
      <c r="P109" s="16">
        <f t="shared" ca="1" si="47"/>
        <v>3190000</v>
      </c>
      <c r="Q109" s="160">
        <f t="shared" ca="1" si="76"/>
        <v>5000000</v>
      </c>
      <c r="R109" s="160">
        <f t="shared" ca="1" si="76"/>
        <v>0</v>
      </c>
      <c r="S109" s="160">
        <f t="shared" ca="1" si="76"/>
        <v>358488</v>
      </c>
      <c r="T109" s="160">
        <f t="shared" ca="1" si="76"/>
        <v>628000</v>
      </c>
      <c r="U109" s="161" t="str">
        <f t="shared" ca="1" si="48"/>
        <v/>
      </c>
      <c r="V109" s="162">
        <f t="shared" ca="1" si="40"/>
        <v>3.4499999999999997</v>
      </c>
      <c r="W109" s="195">
        <f t="shared" ca="1" si="67"/>
        <v>221</v>
      </c>
      <c r="X109" s="158">
        <f t="shared" ca="1" si="49"/>
        <v>16500.090438862178</v>
      </c>
      <c r="Y109" s="16">
        <f t="shared" ca="1" si="50"/>
        <v>8295.4782593750006</v>
      </c>
      <c r="Z109" s="164">
        <f t="shared" ca="1" si="51"/>
        <v>1805014.67948718</v>
      </c>
      <c r="AA109" s="272">
        <f t="shared" ca="1" si="68"/>
        <v>0.22</v>
      </c>
      <c r="AB109" s="16">
        <f t="shared" ca="1" si="52"/>
        <v>14713.305221799672</v>
      </c>
      <c r="AC109" s="16">
        <f t="shared" ca="1" si="53"/>
        <v>14713.305221799677</v>
      </c>
      <c r="AD109" s="197"/>
      <c r="AE109" s="274">
        <f t="shared" ca="1" si="54"/>
        <v>1.6821425527395739E-3</v>
      </c>
      <c r="AF109" s="166">
        <f t="shared" ca="1" si="55"/>
        <v>0.85795479803528663</v>
      </c>
      <c r="AG109" s="16">
        <f t="shared" ca="1" si="56"/>
        <v>12623.350810000666</v>
      </c>
      <c r="AH109" s="16">
        <f t="shared" ca="1" si="57"/>
        <v>12623.350810000671</v>
      </c>
      <c r="AI109" s="168">
        <f t="shared" ca="1" si="58"/>
        <v>49</v>
      </c>
      <c r="AJ109" s="158">
        <f t="shared" ca="1" si="59"/>
        <v>49</v>
      </c>
      <c r="AK109" s="16">
        <f t="shared" ca="1" si="60"/>
        <v>-16549.090438862178</v>
      </c>
      <c r="AL109" s="168">
        <f t="shared" ca="1" si="69"/>
        <v>16500.090438862178</v>
      </c>
      <c r="AM109" s="158">
        <f t="shared" ca="1" si="70"/>
        <v>16537.626539583332</v>
      </c>
      <c r="AN109" s="158">
        <f t="shared" ca="1" si="71"/>
        <v>13056.909181017998</v>
      </c>
      <c r="AO109" s="169">
        <f t="shared" ca="1" si="72"/>
        <v>221</v>
      </c>
      <c r="AP109" s="169">
        <f t="shared" ca="1" si="73"/>
        <v>153</v>
      </c>
      <c r="AQ109" s="158">
        <f t="shared" ca="1" si="74"/>
        <v>0</v>
      </c>
      <c r="AR109" s="158">
        <f t="shared" ca="1" si="75"/>
        <v>37.536100721154071</v>
      </c>
      <c r="AS109" s="170"/>
      <c r="AT109" s="159"/>
      <c r="AU109" s="159"/>
    </row>
    <row r="110" spans="1:47" x14ac:dyDescent="0.6">
      <c r="A110" s="171" t="str">
        <f t="shared" ca="1" si="41"/>
        <v>September 2032</v>
      </c>
      <c r="B110" s="191">
        <v>0</v>
      </c>
      <c r="C110" s="269">
        <f t="shared" ca="1" si="61"/>
        <v>5.4899999999999997E-2</v>
      </c>
      <c r="D110" s="173" t="str">
        <f t="shared" ca="1" si="62"/>
        <v/>
      </c>
      <c r="E110" s="174" t="str">
        <f t="shared" ca="1" si="63"/>
        <v/>
      </c>
      <c r="F110" s="175">
        <f t="shared" ca="1" si="64"/>
        <v>49</v>
      </c>
      <c r="G110" s="10">
        <v>93</v>
      </c>
      <c r="H110" s="176">
        <f t="shared" ca="1" si="65"/>
        <v>220</v>
      </c>
      <c r="I110" s="12">
        <f t="shared" ca="1" si="66"/>
        <v>16462.554338141024</v>
      </c>
      <c r="J110" s="12">
        <f t="shared" ca="1" si="42"/>
        <v>8257.9421586538774</v>
      </c>
      <c r="K110" s="177">
        <f t="shared" ca="1" si="43"/>
        <v>8204.6121794871469</v>
      </c>
      <c r="L110" s="177">
        <f t="shared" ca="1" si="44"/>
        <v>1796810.0673076992</v>
      </c>
      <c r="M110" s="11">
        <f t="shared" ca="1" si="45"/>
        <v>-2.9103830456733704E-11</v>
      </c>
      <c r="N110" s="12">
        <f ca="1">IF(Y110=0, 0, ROUND(SUM(Y$17:Y110)-SUM(J$17:J110),0))</f>
        <v>0</v>
      </c>
      <c r="O110" s="12" t="str">
        <f t="shared" ca="1" si="46"/>
        <v/>
      </c>
      <c r="P110" s="12">
        <f t="shared" ca="1" si="47"/>
        <v>3200000</v>
      </c>
      <c r="Q110" s="178">
        <f t="shared" ca="1" si="76"/>
        <v>5000000</v>
      </c>
      <c r="R110" s="178">
        <f t="shared" ca="1" si="76"/>
        <v>0</v>
      </c>
      <c r="S110" s="178">
        <f t="shared" ca="1" si="76"/>
        <v>358488</v>
      </c>
      <c r="T110" s="178">
        <f t="shared" ca="1" si="76"/>
        <v>628000</v>
      </c>
      <c r="U110" s="179" t="str">
        <f t="shared" ca="1" si="48"/>
        <v/>
      </c>
      <c r="V110" s="180">
        <f t="shared" ca="1" si="40"/>
        <v>3.44</v>
      </c>
      <c r="W110" s="181">
        <f t="shared" ca="1" si="67"/>
        <v>220</v>
      </c>
      <c r="X110" s="177">
        <f t="shared" ca="1" si="49"/>
        <v>16462.554338141028</v>
      </c>
      <c r="Y110" s="12">
        <f t="shared" ca="1" si="50"/>
        <v>8257.9421586538483</v>
      </c>
      <c r="Z110" s="182">
        <f t="shared" ca="1" si="51"/>
        <v>1796810.0673076927</v>
      </c>
      <c r="AA110" s="271">
        <f t="shared" ca="1" si="68"/>
        <v>0.22</v>
      </c>
      <c r="AB110" s="12">
        <f t="shared" ca="1" si="52"/>
        <v>14684.027063237172</v>
      </c>
      <c r="AC110" s="12">
        <f t="shared" ca="1" si="53"/>
        <v>14684.027063237181</v>
      </c>
      <c r="AD110" s="199"/>
      <c r="AE110" s="273">
        <f t="shared" ca="1" si="54"/>
        <v>1.6821425527395739E-3</v>
      </c>
      <c r="AF110" s="184">
        <f t="shared" ca="1" si="55"/>
        <v>0.85651159576118441</v>
      </c>
      <c r="AG110" s="12">
        <f t="shared" ca="1" si="56"/>
        <v>12577.039452133689</v>
      </c>
      <c r="AH110" s="12">
        <f t="shared" ca="1" si="57"/>
        <v>12577.039452133697</v>
      </c>
      <c r="AI110" s="185">
        <f t="shared" ca="1" si="58"/>
        <v>49</v>
      </c>
      <c r="AJ110" s="177">
        <f t="shared" ca="1" si="59"/>
        <v>49</v>
      </c>
      <c r="AK110" s="12">
        <f t="shared" ca="1" si="60"/>
        <v>-16511.554338141024</v>
      </c>
      <c r="AL110" s="185">
        <f t="shared" ca="1" si="69"/>
        <v>16462.554338141024</v>
      </c>
      <c r="AM110" s="177">
        <f t="shared" ca="1" si="70"/>
        <v>16500.090438862178</v>
      </c>
      <c r="AN110" s="177">
        <f t="shared" ca="1" si="71"/>
        <v>13032.049710441815</v>
      </c>
      <c r="AO110" s="196">
        <f t="shared" ca="1" si="72"/>
        <v>220</v>
      </c>
      <c r="AP110" s="196">
        <f t="shared" ca="1" si="73"/>
        <v>153</v>
      </c>
      <c r="AQ110" s="177">
        <f t="shared" ca="1" si="74"/>
        <v>0</v>
      </c>
      <c r="AR110" s="177">
        <f t="shared" ca="1" si="75"/>
        <v>37.536100721154071</v>
      </c>
      <c r="AS110" s="189"/>
      <c r="AT110" s="190"/>
      <c r="AU110" s="190"/>
    </row>
    <row r="111" spans="1:47" x14ac:dyDescent="0.6">
      <c r="A111" s="152" t="str">
        <f t="shared" ca="1" si="41"/>
        <v>Oktober 2032</v>
      </c>
      <c r="B111" s="191">
        <v>0</v>
      </c>
      <c r="C111" s="270">
        <f t="shared" ca="1" si="61"/>
        <v>5.4899999999999997E-2</v>
      </c>
      <c r="D111" s="192" t="str">
        <f t="shared" ca="1" si="62"/>
        <v/>
      </c>
      <c r="E111" s="193" t="str">
        <f t="shared" ca="1" si="63"/>
        <v/>
      </c>
      <c r="F111" s="194">
        <f t="shared" ca="1" si="64"/>
        <v>49</v>
      </c>
      <c r="G111" s="14">
        <v>94</v>
      </c>
      <c r="H111" s="157">
        <f t="shared" ca="1" si="65"/>
        <v>219</v>
      </c>
      <c r="I111" s="16">
        <f t="shared" ca="1" si="66"/>
        <v>16425.01823741987</v>
      </c>
      <c r="J111" s="16">
        <f t="shared" ca="1" si="42"/>
        <v>8220.4060579327233</v>
      </c>
      <c r="K111" s="158">
        <f t="shared" ca="1" si="43"/>
        <v>8204.6121794871469</v>
      </c>
      <c r="L111" s="158">
        <f t="shared" ca="1" si="44"/>
        <v>1788605.455128212</v>
      </c>
      <c r="M111" s="15">
        <f t="shared" ca="1" si="45"/>
        <v>-2.9103830456733704E-11</v>
      </c>
      <c r="N111" s="16">
        <f ca="1">IF(Y111=0, 0, ROUND(SUM(Y$17:Y111)-SUM(J$17:J111),0))</f>
        <v>0</v>
      </c>
      <c r="O111" s="16" t="str">
        <f t="shared" ca="1" si="46"/>
        <v/>
      </c>
      <c r="P111" s="16">
        <f t="shared" ca="1" si="47"/>
        <v>3210000</v>
      </c>
      <c r="Q111" s="160">
        <f t="shared" ca="1" si="76"/>
        <v>5000000</v>
      </c>
      <c r="R111" s="160">
        <f t="shared" ca="1" si="76"/>
        <v>0</v>
      </c>
      <c r="S111" s="160">
        <f t="shared" ca="1" si="76"/>
        <v>358488</v>
      </c>
      <c r="T111" s="160">
        <f t="shared" ca="1" si="76"/>
        <v>628000</v>
      </c>
      <c r="U111" s="161" t="str">
        <f t="shared" ca="1" si="48"/>
        <v/>
      </c>
      <c r="V111" s="162">
        <f t="shared" ca="1" si="40"/>
        <v>3.42</v>
      </c>
      <c r="W111" s="195">
        <f t="shared" ca="1" si="67"/>
        <v>219</v>
      </c>
      <c r="X111" s="158">
        <f t="shared" ca="1" si="49"/>
        <v>16425.018237419874</v>
      </c>
      <c r="Y111" s="16">
        <f t="shared" ca="1" si="50"/>
        <v>8220.4060579326942</v>
      </c>
      <c r="Z111" s="164">
        <f t="shared" ca="1" si="51"/>
        <v>1788605.4551282055</v>
      </c>
      <c r="AA111" s="272">
        <f t="shared" ca="1" si="68"/>
        <v>0.22</v>
      </c>
      <c r="AB111" s="16">
        <f t="shared" ca="1" si="52"/>
        <v>14654.74890467467</v>
      </c>
      <c r="AC111" s="16">
        <f t="shared" ca="1" si="53"/>
        <v>14654.748904674681</v>
      </c>
      <c r="AD111" s="197"/>
      <c r="AE111" s="274">
        <f t="shared" ca="1" si="54"/>
        <v>1.6821425527395739E-3</v>
      </c>
      <c r="AF111" s="166">
        <f t="shared" ca="1" si="55"/>
        <v>0.85507082115903965</v>
      </c>
      <c r="AG111" s="16">
        <f t="shared" ca="1" si="56"/>
        <v>12530.848179799706</v>
      </c>
      <c r="AH111" s="16">
        <f t="shared" ca="1" si="57"/>
        <v>12530.848179799717</v>
      </c>
      <c r="AI111" s="168">
        <f t="shared" ca="1" si="58"/>
        <v>49</v>
      </c>
      <c r="AJ111" s="158">
        <f t="shared" ca="1" si="59"/>
        <v>49</v>
      </c>
      <c r="AK111" s="16">
        <f t="shared" ca="1" si="60"/>
        <v>-16474.01823741987</v>
      </c>
      <c r="AL111" s="168">
        <f t="shared" ca="1" si="69"/>
        <v>16425.01823741987</v>
      </c>
      <c r="AM111" s="158">
        <f t="shared" ca="1" si="70"/>
        <v>16462.554338141024</v>
      </c>
      <c r="AN111" s="158">
        <f t="shared" ca="1" si="71"/>
        <v>13007.216081238574</v>
      </c>
      <c r="AO111" s="169">
        <f t="shared" ca="1" si="72"/>
        <v>219</v>
      </c>
      <c r="AP111" s="169">
        <f t="shared" ca="1" si="73"/>
        <v>152</v>
      </c>
      <c r="AQ111" s="158">
        <f t="shared" ca="1" si="74"/>
        <v>0</v>
      </c>
      <c r="AR111" s="158">
        <f t="shared" ca="1" si="75"/>
        <v>37.536100721154071</v>
      </c>
      <c r="AS111" s="170"/>
      <c r="AT111" s="159"/>
      <c r="AU111" s="159"/>
    </row>
    <row r="112" spans="1:47" x14ac:dyDescent="0.6">
      <c r="A112" s="171" t="str">
        <f t="shared" ca="1" si="41"/>
        <v>November 2032</v>
      </c>
      <c r="B112" s="191">
        <v>0</v>
      </c>
      <c r="C112" s="269">
        <f t="shared" ca="1" si="61"/>
        <v>5.4899999999999997E-2</v>
      </c>
      <c r="D112" s="173" t="str">
        <f t="shared" ca="1" si="62"/>
        <v/>
      </c>
      <c r="E112" s="174" t="str">
        <f t="shared" ca="1" si="63"/>
        <v/>
      </c>
      <c r="F112" s="175">
        <f t="shared" ca="1" si="64"/>
        <v>49</v>
      </c>
      <c r="G112" s="10">
        <v>95</v>
      </c>
      <c r="H112" s="176">
        <f t="shared" ca="1" si="65"/>
        <v>218</v>
      </c>
      <c r="I112" s="12">
        <f t="shared" ca="1" si="66"/>
        <v>16387.482136698716</v>
      </c>
      <c r="J112" s="12">
        <f t="shared" ca="1" si="42"/>
        <v>8182.8699572115693</v>
      </c>
      <c r="K112" s="177">
        <f t="shared" ca="1" si="43"/>
        <v>8204.6121794871469</v>
      </c>
      <c r="L112" s="177">
        <f t="shared" ca="1" si="44"/>
        <v>1780400.8429487247</v>
      </c>
      <c r="M112" s="11">
        <f t="shared" ca="1" si="45"/>
        <v>-2.9103830456733704E-11</v>
      </c>
      <c r="N112" s="12">
        <f ca="1">IF(Y112=0, 0, ROUND(SUM(Y$17:Y112)-SUM(J$17:J112),0))</f>
        <v>0</v>
      </c>
      <c r="O112" s="12" t="str">
        <f t="shared" ca="1" si="46"/>
        <v/>
      </c>
      <c r="P112" s="12" t="str">
        <f t="shared" ca="1" si="47"/>
        <v/>
      </c>
      <c r="Q112" s="178">
        <f t="shared" ca="1" si="76"/>
        <v>5000000</v>
      </c>
      <c r="R112" s="178">
        <f t="shared" ca="1" si="76"/>
        <v>0</v>
      </c>
      <c r="S112" s="178">
        <f t="shared" ca="1" si="76"/>
        <v>358488</v>
      </c>
      <c r="T112" s="178">
        <f t="shared" ca="1" si="76"/>
        <v>628000</v>
      </c>
      <c r="U112" s="179" t="str">
        <f t="shared" ca="1" si="48"/>
        <v/>
      </c>
      <c r="V112" s="180">
        <f t="shared" ca="1" si="40"/>
        <v>3.4099999999999997</v>
      </c>
      <c r="W112" s="181">
        <f t="shared" ca="1" si="67"/>
        <v>218</v>
      </c>
      <c r="X112" s="177">
        <f t="shared" ca="1" si="49"/>
        <v>16387.48213669872</v>
      </c>
      <c r="Y112" s="12">
        <f t="shared" ca="1" si="50"/>
        <v>8182.8699572115402</v>
      </c>
      <c r="Z112" s="182">
        <f t="shared" ca="1" si="51"/>
        <v>1780400.8429487182</v>
      </c>
      <c r="AA112" s="271">
        <f t="shared" ca="1" si="68"/>
        <v>0.22</v>
      </c>
      <c r="AB112" s="12">
        <f t="shared" ca="1" si="52"/>
        <v>14625.470746112172</v>
      </c>
      <c r="AC112" s="12">
        <f t="shared" ca="1" si="53"/>
        <v>14625.470746112182</v>
      </c>
      <c r="AD112" s="199"/>
      <c r="AE112" s="273">
        <f t="shared" ca="1" si="54"/>
        <v>1.6821425527395739E-3</v>
      </c>
      <c r="AF112" s="184">
        <f t="shared" ca="1" si="55"/>
        <v>0.85363247014516208</v>
      </c>
      <c r="AG112" s="12">
        <f t="shared" ca="1" si="56"/>
        <v>12484.776720039541</v>
      </c>
      <c r="AH112" s="12">
        <f t="shared" ca="1" si="57"/>
        <v>12484.776720039548</v>
      </c>
      <c r="AI112" s="185">
        <f t="shared" ca="1" si="58"/>
        <v>49</v>
      </c>
      <c r="AJ112" s="177">
        <f t="shared" ca="1" si="59"/>
        <v>49</v>
      </c>
      <c r="AK112" s="12">
        <f t="shared" ca="1" si="60"/>
        <v>-16436.482136698716</v>
      </c>
      <c r="AL112" s="185">
        <f t="shared" ca="1" si="69"/>
        <v>16387.482136698716</v>
      </c>
      <c r="AM112" s="177">
        <f t="shared" ca="1" si="70"/>
        <v>16425.01823741987</v>
      </c>
      <c r="AN112" s="177">
        <f t="shared" ca="1" si="71"/>
        <v>12982.408316614054</v>
      </c>
      <c r="AO112" s="196">
        <f t="shared" ca="1" si="72"/>
        <v>218</v>
      </c>
      <c r="AP112" s="196">
        <f t="shared" ca="1" si="73"/>
        <v>152</v>
      </c>
      <c r="AQ112" s="177">
        <f t="shared" ca="1" si="74"/>
        <v>0</v>
      </c>
      <c r="AR112" s="177">
        <f t="shared" ca="1" si="75"/>
        <v>37.536100721154071</v>
      </c>
      <c r="AS112" s="189"/>
      <c r="AT112" s="190"/>
      <c r="AU112" s="190"/>
    </row>
    <row r="113" spans="1:47" x14ac:dyDescent="0.6">
      <c r="A113" s="152" t="str">
        <f t="shared" ca="1" si="41"/>
        <v>Desember 2032</v>
      </c>
      <c r="B113" s="191">
        <v>0</v>
      </c>
      <c r="C113" s="270">
        <f t="shared" ca="1" si="61"/>
        <v>5.4899999999999997E-2</v>
      </c>
      <c r="D113" s="192" t="str">
        <f t="shared" ca="1" si="62"/>
        <v/>
      </c>
      <c r="E113" s="193" t="str">
        <f t="shared" ca="1" si="63"/>
        <v/>
      </c>
      <c r="F113" s="194">
        <f t="shared" ca="1" si="64"/>
        <v>49</v>
      </c>
      <c r="G113" s="14">
        <v>96</v>
      </c>
      <c r="H113" s="157">
        <f t="shared" ca="1" si="65"/>
        <v>217</v>
      </c>
      <c r="I113" s="16">
        <f t="shared" ca="1" si="66"/>
        <v>16349.946035977562</v>
      </c>
      <c r="J113" s="16">
        <f t="shared" ca="1" si="42"/>
        <v>8145.3338564904152</v>
      </c>
      <c r="K113" s="158">
        <f t="shared" ca="1" si="43"/>
        <v>8204.6121794871469</v>
      </c>
      <c r="L113" s="158">
        <f t="shared" ca="1" si="44"/>
        <v>1772196.2307692375</v>
      </c>
      <c r="M113" s="15">
        <f t="shared" ca="1" si="45"/>
        <v>-2.9103830456733704E-11</v>
      </c>
      <c r="N113" s="16">
        <f ca="1">IF(Y113=0, 0, ROUND(SUM(Y$17:Y113)-SUM(J$17:J113),0))</f>
        <v>0</v>
      </c>
      <c r="O113" s="16" t="str">
        <f t="shared" ca="1" si="46"/>
        <v/>
      </c>
      <c r="P113" s="16">
        <f t="shared" ca="1" si="47"/>
        <v>3220000</v>
      </c>
      <c r="Q113" s="160">
        <f t="shared" ca="1" si="76"/>
        <v>5000000</v>
      </c>
      <c r="R113" s="160">
        <f t="shared" ca="1" si="76"/>
        <v>0</v>
      </c>
      <c r="S113" s="160">
        <f t="shared" ca="1" si="76"/>
        <v>358488</v>
      </c>
      <c r="T113" s="160">
        <f t="shared" ca="1" si="76"/>
        <v>628000</v>
      </c>
      <c r="U113" s="161" t="str">
        <f t="shared" ca="1" si="48"/>
        <v/>
      </c>
      <c r="V113" s="162">
        <f t="shared" ca="1" si="40"/>
        <v>3.4</v>
      </c>
      <c r="W113" s="195">
        <f t="shared" ca="1" si="67"/>
        <v>217</v>
      </c>
      <c r="X113" s="158">
        <f t="shared" ca="1" si="49"/>
        <v>16349.946035977566</v>
      </c>
      <c r="Y113" s="16">
        <f t="shared" ca="1" si="50"/>
        <v>8145.3338564903861</v>
      </c>
      <c r="Z113" s="164">
        <f t="shared" ca="1" si="51"/>
        <v>1772196.2307692312</v>
      </c>
      <c r="AA113" s="272">
        <f t="shared" ca="1" si="68"/>
        <v>0.22</v>
      </c>
      <c r="AB113" s="16">
        <f t="shared" ca="1" si="52"/>
        <v>14596.192587549671</v>
      </c>
      <c r="AC113" s="16">
        <f t="shared" ca="1" si="53"/>
        <v>14596.192587549682</v>
      </c>
      <c r="AD113" s="197"/>
      <c r="AE113" s="274">
        <f t="shared" ca="1" si="54"/>
        <v>1.6821425527395739E-3</v>
      </c>
      <c r="AF113" s="166">
        <f t="shared" ca="1" si="55"/>
        <v>0.85219653864273071</v>
      </c>
      <c r="AG113" s="16">
        <f t="shared" ca="1" si="56"/>
        <v>12438.824800472512</v>
      </c>
      <c r="AH113" s="16">
        <f t="shared" ca="1" si="57"/>
        <v>12438.824800472521</v>
      </c>
      <c r="AI113" s="168">
        <f t="shared" ca="1" si="58"/>
        <v>49</v>
      </c>
      <c r="AJ113" s="158">
        <f t="shared" ca="1" si="59"/>
        <v>49</v>
      </c>
      <c r="AK113" s="16">
        <f t="shared" ca="1" si="60"/>
        <v>-16398.946035977562</v>
      </c>
      <c r="AL113" s="168">
        <f t="shared" ca="1" si="69"/>
        <v>16349.946035977562</v>
      </c>
      <c r="AM113" s="158">
        <f t="shared" ca="1" si="70"/>
        <v>16387.482136698716</v>
      </c>
      <c r="AN113" s="158">
        <f t="shared" ca="1" si="71"/>
        <v>12957.626439692922</v>
      </c>
      <c r="AO113" s="169">
        <f t="shared" ca="1" si="72"/>
        <v>217</v>
      </c>
      <c r="AP113" s="169">
        <f t="shared" ca="1" si="73"/>
        <v>151</v>
      </c>
      <c r="AQ113" s="158">
        <f t="shared" ca="1" si="74"/>
        <v>0</v>
      </c>
      <c r="AR113" s="158">
        <f t="shared" ca="1" si="75"/>
        <v>37.536100721154071</v>
      </c>
      <c r="AS113" s="170"/>
      <c r="AT113" s="159"/>
      <c r="AU113" s="159"/>
    </row>
    <row r="114" spans="1:47" x14ac:dyDescent="0.6">
      <c r="A114" s="171" t="str">
        <f t="shared" ca="1" si="41"/>
        <v>Januar 2033</v>
      </c>
      <c r="B114" s="191">
        <v>0</v>
      </c>
      <c r="C114" s="269">
        <f t="shared" ca="1" si="61"/>
        <v>5.4899999999999997E-2</v>
      </c>
      <c r="D114" s="173" t="str">
        <f t="shared" ca="1" si="62"/>
        <v/>
      </c>
      <c r="E114" s="174" t="str">
        <f t="shared" ca="1" si="63"/>
        <v/>
      </c>
      <c r="F114" s="175">
        <f t="shared" ca="1" si="64"/>
        <v>49</v>
      </c>
      <c r="G114" s="10">
        <v>97</v>
      </c>
      <c r="H114" s="176">
        <f t="shared" ca="1" si="65"/>
        <v>216</v>
      </c>
      <c r="I114" s="12">
        <f t="shared" ca="1" si="66"/>
        <v>16312.409935256408</v>
      </c>
      <c r="J114" s="12">
        <f t="shared" ca="1" si="42"/>
        <v>8107.7977557692611</v>
      </c>
      <c r="K114" s="177">
        <f t="shared" ca="1" si="43"/>
        <v>8204.6121794871469</v>
      </c>
      <c r="L114" s="177">
        <f t="shared" ca="1" si="44"/>
        <v>1763991.6185897503</v>
      </c>
      <c r="M114" s="11">
        <f t="shared" ca="1" si="45"/>
        <v>-2.9103830456733704E-11</v>
      </c>
      <c r="N114" s="12">
        <f ca="1">IF(Y114=0, 0, ROUND(SUM(Y$17:Y114)-SUM(J$17:J114),0))</f>
        <v>0</v>
      </c>
      <c r="O114" s="12" t="str">
        <f t="shared" ca="1" si="46"/>
        <v/>
      </c>
      <c r="P114" s="12">
        <f t="shared" ca="1" si="47"/>
        <v>3230000</v>
      </c>
      <c r="Q114" s="178">
        <f t="shared" ca="1" si="76"/>
        <v>5000000</v>
      </c>
      <c r="R114" s="178">
        <f t="shared" ca="1" si="76"/>
        <v>0</v>
      </c>
      <c r="S114" s="178">
        <f t="shared" ca="1" si="76"/>
        <v>358488</v>
      </c>
      <c r="T114" s="178">
        <f t="shared" ca="1" si="76"/>
        <v>628000</v>
      </c>
      <c r="U114" s="179" t="str">
        <f t="shared" ca="1" si="48"/>
        <v/>
      </c>
      <c r="V114" s="180">
        <f t="shared" ca="1" si="40"/>
        <v>3.38</v>
      </c>
      <c r="W114" s="181">
        <f t="shared" ca="1" si="67"/>
        <v>216</v>
      </c>
      <c r="X114" s="177">
        <f t="shared" ca="1" si="49"/>
        <v>16312.409935256412</v>
      </c>
      <c r="Y114" s="12">
        <f t="shared" ca="1" si="50"/>
        <v>8107.797755769232</v>
      </c>
      <c r="Z114" s="182">
        <f t="shared" ca="1" si="51"/>
        <v>1763991.618589744</v>
      </c>
      <c r="AA114" s="271">
        <f t="shared" ca="1" si="68"/>
        <v>0.22</v>
      </c>
      <c r="AB114" s="12">
        <f t="shared" ca="1" si="52"/>
        <v>14566.914428987171</v>
      </c>
      <c r="AC114" s="12">
        <f t="shared" ca="1" si="53"/>
        <v>14566.91442898718</v>
      </c>
      <c r="AD114" s="199"/>
      <c r="AE114" s="273">
        <f t="shared" ca="1" si="54"/>
        <v>1.6821425527395739E-3</v>
      </c>
      <c r="AF114" s="184">
        <f t="shared" ca="1" si="55"/>
        <v>0.85076302258178238</v>
      </c>
      <c r="AG114" s="12">
        <f t="shared" ca="1" si="56"/>
        <v>12392.992149295304</v>
      </c>
      <c r="AH114" s="12">
        <f t="shared" ca="1" si="57"/>
        <v>12392.992149295313</v>
      </c>
      <c r="AI114" s="185">
        <f t="shared" ca="1" si="58"/>
        <v>49</v>
      </c>
      <c r="AJ114" s="177">
        <f t="shared" ca="1" si="59"/>
        <v>49</v>
      </c>
      <c r="AK114" s="12">
        <f t="shared" ca="1" si="60"/>
        <v>-16361.409935256408</v>
      </c>
      <c r="AL114" s="185">
        <f t="shared" ca="1" si="69"/>
        <v>16312.409935256408</v>
      </c>
      <c r="AM114" s="177">
        <f t="shared" ca="1" si="70"/>
        <v>16349.946035977562</v>
      </c>
      <c r="AN114" s="177">
        <f t="shared" ca="1" si="71"/>
        <v>12932.870473518404</v>
      </c>
      <c r="AO114" s="196">
        <f t="shared" ca="1" si="72"/>
        <v>216</v>
      </c>
      <c r="AP114" s="196">
        <f t="shared" ca="1" si="73"/>
        <v>151</v>
      </c>
      <c r="AQ114" s="177">
        <f t="shared" ca="1" si="74"/>
        <v>0</v>
      </c>
      <c r="AR114" s="177">
        <f t="shared" ca="1" si="75"/>
        <v>37.536100721154071</v>
      </c>
      <c r="AS114" s="189"/>
      <c r="AT114" s="190"/>
      <c r="AU114" s="190"/>
    </row>
    <row r="115" spans="1:47" x14ac:dyDescent="0.6">
      <c r="A115" s="152" t="str">
        <f t="shared" ca="1" si="41"/>
        <v>Februar 2033</v>
      </c>
      <c r="B115" s="191">
        <v>0</v>
      </c>
      <c r="C115" s="270">
        <f t="shared" ca="1" si="61"/>
        <v>5.4899999999999997E-2</v>
      </c>
      <c r="D115" s="192" t="str">
        <f t="shared" ca="1" si="62"/>
        <v/>
      </c>
      <c r="E115" s="193" t="str">
        <f t="shared" ca="1" si="63"/>
        <v/>
      </c>
      <c r="F115" s="194">
        <f t="shared" ca="1" si="64"/>
        <v>49</v>
      </c>
      <c r="G115" s="14">
        <v>98</v>
      </c>
      <c r="H115" s="157">
        <f t="shared" ca="1" si="65"/>
        <v>215</v>
      </c>
      <c r="I115" s="16">
        <f t="shared" ca="1" si="66"/>
        <v>16274.873834535254</v>
      </c>
      <c r="J115" s="16">
        <f t="shared" ca="1" si="42"/>
        <v>8070.2616550481071</v>
      </c>
      <c r="K115" s="158">
        <f t="shared" ca="1" si="43"/>
        <v>8204.6121794871469</v>
      </c>
      <c r="L115" s="158">
        <f t="shared" ca="1" si="44"/>
        <v>1755787.006410263</v>
      </c>
      <c r="M115" s="15">
        <f t="shared" ca="1" si="45"/>
        <v>-2.9103830456733704E-11</v>
      </c>
      <c r="N115" s="16">
        <f ca="1">IF(Y115=0, 0, ROUND(SUM(Y$17:Y115)-SUM(J$17:J115),0))</f>
        <v>0</v>
      </c>
      <c r="O115" s="16" t="str">
        <f t="shared" ca="1" si="46"/>
        <v/>
      </c>
      <c r="P115" s="16">
        <f t="shared" ca="1" si="47"/>
        <v>3240000</v>
      </c>
      <c r="Q115" s="160">
        <f t="shared" ca="1" si="76"/>
        <v>5000000</v>
      </c>
      <c r="R115" s="160">
        <f t="shared" ca="1" si="76"/>
        <v>0</v>
      </c>
      <c r="S115" s="160">
        <f t="shared" ca="1" si="76"/>
        <v>358488</v>
      </c>
      <c r="T115" s="160">
        <f t="shared" ca="1" si="76"/>
        <v>628000</v>
      </c>
      <c r="U115" s="161" t="str">
        <f t="shared" ca="1" si="48"/>
        <v/>
      </c>
      <c r="V115" s="162">
        <f t="shared" ca="1" si="40"/>
        <v>3.3699999999999997</v>
      </c>
      <c r="W115" s="195">
        <f t="shared" ca="1" si="67"/>
        <v>215</v>
      </c>
      <c r="X115" s="158">
        <f t="shared" ca="1" si="49"/>
        <v>16274.873834535258</v>
      </c>
      <c r="Y115" s="16">
        <f t="shared" ca="1" si="50"/>
        <v>8070.261655048078</v>
      </c>
      <c r="Z115" s="164">
        <f t="shared" ca="1" si="51"/>
        <v>1755787.0064102567</v>
      </c>
      <c r="AA115" s="272">
        <f t="shared" ca="1" si="68"/>
        <v>0.22</v>
      </c>
      <c r="AB115" s="16">
        <f t="shared" ca="1" si="52"/>
        <v>14537.636270424671</v>
      </c>
      <c r="AC115" s="16">
        <f t="shared" ca="1" si="53"/>
        <v>14537.63627042468</v>
      </c>
      <c r="AD115" s="197"/>
      <c r="AE115" s="274">
        <f t="shared" ca="1" si="54"/>
        <v>1.6821425527395739E-3</v>
      </c>
      <c r="AF115" s="166">
        <f t="shared" ca="1" si="55"/>
        <v>0.84933191789920026</v>
      </c>
      <c r="AG115" s="16">
        <f t="shared" ca="1" si="56"/>
        <v>12347.278495280763</v>
      </c>
      <c r="AH115" s="16">
        <f t="shared" ca="1" si="57"/>
        <v>12347.278495280771</v>
      </c>
      <c r="AI115" s="168">
        <f t="shared" ca="1" si="58"/>
        <v>49</v>
      </c>
      <c r="AJ115" s="158">
        <f t="shared" ca="1" si="59"/>
        <v>49</v>
      </c>
      <c r="AK115" s="16">
        <f t="shared" ca="1" si="60"/>
        <v>-16323.873834535254</v>
      </c>
      <c r="AL115" s="168">
        <f t="shared" ca="1" si="69"/>
        <v>16274.873834535254</v>
      </c>
      <c r="AM115" s="158">
        <f t="shared" ca="1" si="70"/>
        <v>16312.409935256408</v>
      </c>
      <c r="AN115" s="158">
        <f t="shared" ca="1" si="71"/>
        <v>12908.140441051999</v>
      </c>
      <c r="AO115" s="169">
        <f t="shared" ca="1" si="72"/>
        <v>215</v>
      </c>
      <c r="AP115" s="169">
        <f t="shared" ca="1" si="73"/>
        <v>150</v>
      </c>
      <c r="AQ115" s="158">
        <f t="shared" ca="1" si="74"/>
        <v>0</v>
      </c>
      <c r="AR115" s="158">
        <f t="shared" ca="1" si="75"/>
        <v>37.536100721154071</v>
      </c>
      <c r="AS115" s="170"/>
      <c r="AT115" s="159"/>
      <c r="AU115" s="159"/>
    </row>
    <row r="116" spans="1:47" x14ac:dyDescent="0.6">
      <c r="A116" s="171" t="str">
        <f t="shared" ca="1" si="41"/>
        <v>Mars 2033</v>
      </c>
      <c r="B116" s="191">
        <v>0</v>
      </c>
      <c r="C116" s="269">
        <f t="shared" ca="1" si="61"/>
        <v>5.4899999999999997E-2</v>
      </c>
      <c r="D116" s="173" t="str">
        <f t="shared" ca="1" si="62"/>
        <v/>
      </c>
      <c r="E116" s="174" t="str">
        <f t="shared" ca="1" si="63"/>
        <v/>
      </c>
      <c r="F116" s="175">
        <f t="shared" ca="1" si="64"/>
        <v>49</v>
      </c>
      <c r="G116" s="10">
        <v>99</v>
      </c>
      <c r="H116" s="176">
        <f t="shared" ca="1" si="65"/>
        <v>214</v>
      </c>
      <c r="I116" s="12">
        <f t="shared" ca="1" si="66"/>
        <v>16237.3377338141</v>
      </c>
      <c r="J116" s="12">
        <f t="shared" ca="1" si="42"/>
        <v>8032.725554326953</v>
      </c>
      <c r="K116" s="177">
        <f t="shared" ca="1" si="43"/>
        <v>8204.6121794871469</v>
      </c>
      <c r="L116" s="177">
        <f t="shared" ca="1" si="44"/>
        <v>1747582.3942307758</v>
      </c>
      <c r="M116" s="11">
        <f t="shared" ca="1" si="45"/>
        <v>-2.9103830456733704E-11</v>
      </c>
      <c r="N116" s="12">
        <f ca="1">IF(Y116=0, 0, ROUND(SUM(Y$17:Y116)-SUM(J$17:J116),0))</f>
        <v>0</v>
      </c>
      <c r="O116" s="12" t="str">
        <f t="shared" ca="1" si="46"/>
        <v/>
      </c>
      <c r="P116" s="12">
        <f t="shared" ca="1" si="47"/>
        <v>3250000</v>
      </c>
      <c r="Q116" s="178">
        <f t="shared" ca="1" si="76"/>
        <v>5000000</v>
      </c>
      <c r="R116" s="178">
        <f t="shared" ca="1" si="76"/>
        <v>0</v>
      </c>
      <c r="S116" s="178">
        <f t="shared" ca="1" si="76"/>
        <v>358488</v>
      </c>
      <c r="T116" s="178">
        <f t="shared" ca="1" si="76"/>
        <v>628000</v>
      </c>
      <c r="U116" s="179" t="str">
        <f t="shared" ca="1" si="48"/>
        <v/>
      </c>
      <c r="V116" s="180">
        <f t="shared" ca="1" si="40"/>
        <v>3.36</v>
      </c>
      <c r="W116" s="181">
        <f t="shared" ca="1" si="67"/>
        <v>214</v>
      </c>
      <c r="X116" s="177">
        <f t="shared" ca="1" si="49"/>
        <v>16237.337733814104</v>
      </c>
      <c r="Y116" s="12">
        <f t="shared" ca="1" si="50"/>
        <v>8032.7255543269239</v>
      </c>
      <c r="Z116" s="182">
        <f t="shared" ca="1" si="51"/>
        <v>1747582.3942307697</v>
      </c>
      <c r="AA116" s="271">
        <f t="shared" ca="1" si="68"/>
        <v>0.22</v>
      </c>
      <c r="AB116" s="12">
        <f t="shared" ca="1" si="52"/>
        <v>14508.35811186217</v>
      </c>
      <c r="AC116" s="12">
        <f t="shared" ca="1" si="53"/>
        <v>14508.358111862181</v>
      </c>
      <c r="AD116" s="199"/>
      <c r="AE116" s="273">
        <f t="shared" ca="1" si="54"/>
        <v>1.6821425527395739E-3</v>
      </c>
      <c r="AF116" s="184">
        <f t="shared" ca="1" si="55"/>
        <v>0.84790322053870215</v>
      </c>
      <c r="AG116" s="12">
        <f t="shared" ca="1" si="56"/>
        <v>12301.683567776738</v>
      </c>
      <c r="AH116" s="12">
        <f t="shared" ca="1" si="57"/>
        <v>12301.683567776747</v>
      </c>
      <c r="AI116" s="185">
        <f t="shared" ca="1" si="58"/>
        <v>49</v>
      </c>
      <c r="AJ116" s="177">
        <f t="shared" ca="1" si="59"/>
        <v>49</v>
      </c>
      <c r="AK116" s="12">
        <f t="shared" ca="1" si="60"/>
        <v>-16286.3377338141</v>
      </c>
      <c r="AL116" s="185">
        <f t="shared" ca="1" si="69"/>
        <v>16237.3377338141</v>
      </c>
      <c r="AM116" s="177">
        <f t="shared" ca="1" si="70"/>
        <v>16274.873834535254</v>
      </c>
      <c r="AN116" s="177">
        <f t="shared" ca="1" si="71"/>
        <v>12883.436365173155</v>
      </c>
      <c r="AO116" s="196">
        <f t="shared" ca="1" si="72"/>
        <v>214</v>
      </c>
      <c r="AP116" s="196">
        <f t="shared" ca="1" si="73"/>
        <v>150</v>
      </c>
      <c r="AQ116" s="177">
        <f t="shared" ca="1" si="74"/>
        <v>0</v>
      </c>
      <c r="AR116" s="177">
        <f t="shared" ca="1" si="75"/>
        <v>37.536100721154071</v>
      </c>
      <c r="AS116" s="189"/>
      <c r="AT116" s="190"/>
      <c r="AU116" s="190"/>
    </row>
    <row r="117" spans="1:47" x14ac:dyDescent="0.6">
      <c r="A117" s="152" t="str">
        <f t="shared" ca="1" si="41"/>
        <v>April 2033</v>
      </c>
      <c r="B117" s="191">
        <v>0</v>
      </c>
      <c r="C117" s="270">
        <f t="shared" ca="1" si="61"/>
        <v>5.4899999999999997E-2</v>
      </c>
      <c r="D117" s="192" t="str">
        <f t="shared" ca="1" si="62"/>
        <v/>
      </c>
      <c r="E117" s="193" t="str">
        <f t="shared" ca="1" si="63"/>
        <v/>
      </c>
      <c r="F117" s="194">
        <f t="shared" ca="1" si="64"/>
        <v>49</v>
      </c>
      <c r="G117" s="14">
        <v>100</v>
      </c>
      <c r="H117" s="157">
        <f t="shared" ca="1" si="65"/>
        <v>213</v>
      </c>
      <c r="I117" s="16">
        <f t="shared" ca="1" si="66"/>
        <v>16199.801633092946</v>
      </c>
      <c r="J117" s="16">
        <f t="shared" ca="1" si="42"/>
        <v>7995.1894536057989</v>
      </c>
      <c r="K117" s="158">
        <f t="shared" ca="1" si="43"/>
        <v>8204.6121794871469</v>
      </c>
      <c r="L117" s="158">
        <f t="shared" ca="1" si="44"/>
        <v>1739377.7820512885</v>
      </c>
      <c r="M117" s="15">
        <f t="shared" ca="1" si="45"/>
        <v>-2.8194335754960775E-11</v>
      </c>
      <c r="N117" s="16">
        <f ca="1">IF(Y117=0, 0, ROUND(SUM(Y$17:Y117)-SUM(J$17:J117),0))</f>
        <v>0</v>
      </c>
      <c r="O117" s="16" t="str">
        <f t="shared" ca="1" si="46"/>
        <v/>
      </c>
      <c r="P117" s="16">
        <f t="shared" ca="1" si="47"/>
        <v>3260000</v>
      </c>
      <c r="Q117" s="160">
        <f t="shared" ca="1" si="76"/>
        <v>5000000</v>
      </c>
      <c r="R117" s="160">
        <f t="shared" ca="1" si="76"/>
        <v>0</v>
      </c>
      <c r="S117" s="160">
        <f t="shared" ca="1" si="76"/>
        <v>358488</v>
      </c>
      <c r="T117" s="160">
        <f t="shared" ca="1" si="76"/>
        <v>628000</v>
      </c>
      <c r="U117" s="161" t="str">
        <f t="shared" ca="1" si="48"/>
        <v/>
      </c>
      <c r="V117" s="162">
        <f t="shared" ca="1" si="40"/>
        <v>3.3499999999999996</v>
      </c>
      <c r="W117" s="195">
        <f t="shared" ca="1" si="67"/>
        <v>213</v>
      </c>
      <c r="X117" s="158">
        <f t="shared" ca="1" si="49"/>
        <v>16199.801633092949</v>
      </c>
      <c r="Y117" s="16">
        <f t="shared" ca="1" si="50"/>
        <v>7995.1894536057707</v>
      </c>
      <c r="Z117" s="164">
        <f t="shared" ca="1" si="51"/>
        <v>1739377.7820512825</v>
      </c>
      <c r="AA117" s="272">
        <f t="shared" ca="1" si="68"/>
        <v>0.22</v>
      </c>
      <c r="AB117" s="16">
        <f t="shared" ca="1" si="52"/>
        <v>14479.079953299672</v>
      </c>
      <c r="AC117" s="16">
        <f t="shared" ca="1" si="53"/>
        <v>14479.079953299681</v>
      </c>
      <c r="AD117" s="197"/>
      <c r="AE117" s="274">
        <f t="shared" ca="1" si="54"/>
        <v>1.6821425527395739E-3</v>
      </c>
      <c r="AF117" s="166">
        <f t="shared" ca="1" si="55"/>
        <v>0.84647692645082906</v>
      </c>
      <c r="AG117" s="16">
        <f t="shared" ca="1" si="56"/>
        <v>12256.20709670492</v>
      </c>
      <c r="AH117" s="16">
        <f t="shared" ca="1" si="57"/>
        <v>12256.207096704928</v>
      </c>
      <c r="AI117" s="168">
        <f t="shared" ca="1" si="58"/>
        <v>49</v>
      </c>
      <c r="AJ117" s="158">
        <f t="shared" ca="1" si="59"/>
        <v>49</v>
      </c>
      <c r="AK117" s="16">
        <f t="shared" ca="1" si="60"/>
        <v>-16248.801633092946</v>
      </c>
      <c r="AL117" s="168">
        <f t="shared" ca="1" si="69"/>
        <v>16199.801633092946</v>
      </c>
      <c r="AM117" s="158">
        <f t="shared" ca="1" si="70"/>
        <v>16237.3377338141</v>
      </c>
      <c r="AN117" s="158">
        <f t="shared" ca="1" si="71"/>
        <v>12858.758268678983</v>
      </c>
      <c r="AO117" s="169">
        <f t="shared" ca="1" si="72"/>
        <v>213</v>
      </c>
      <c r="AP117" s="169">
        <f t="shared" ca="1" si="73"/>
        <v>149</v>
      </c>
      <c r="AQ117" s="158">
        <f t="shared" ca="1" si="74"/>
        <v>0</v>
      </c>
      <c r="AR117" s="158">
        <f t="shared" ca="1" si="75"/>
        <v>37.536100721154071</v>
      </c>
      <c r="AS117" s="170"/>
      <c r="AT117" s="159"/>
      <c r="AU117" s="159"/>
    </row>
    <row r="118" spans="1:47" x14ac:dyDescent="0.6">
      <c r="A118" s="171" t="str">
        <f t="shared" ca="1" si="41"/>
        <v>Mai 2033</v>
      </c>
      <c r="B118" s="191">
        <v>0</v>
      </c>
      <c r="C118" s="269">
        <f t="shared" ca="1" si="61"/>
        <v>5.4899999999999997E-2</v>
      </c>
      <c r="D118" s="173" t="str">
        <f t="shared" ca="1" si="62"/>
        <v/>
      </c>
      <c r="E118" s="174" t="str">
        <f t="shared" ca="1" si="63"/>
        <v/>
      </c>
      <c r="F118" s="175">
        <f t="shared" ca="1" si="64"/>
        <v>49</v>
      </c>
      <c r="G118" s="10">
        <v>101</v>
      </c>
      <c r="H118" s="176">
        <f t="shared" ca="1" si="65"/>
        <v>212</v>
      </c>
      <c r="I118" s="12">
        <f t="shared" ca="1" si="66"/>
        <v>16162.265532371792</v>
      </c>
      <c r="J118" s="12">
        <f t="shared" ca="1" si="42"/>
        <v>7957.6533528846448</v>
      </c>
      <c r="K118" s="177">
        <f t="shared" ca="1" si="43"/>
        <v>8204.6121794871469</v>
      </c>
      <c r="L118" s="177">
        <f t="shared" ca="1" si="44"/>
        <v>1731173.1698718013</v>
      </c>
      <c r="M118" s="11">
        <f t="shared" ca="1" si="45"/>
        <v>-2.8194335754960775E-11</v>
      </c>
      <c r="N118" s="12">
        <f ca="1">IF(Y118=0, 0, ROUND(SUM(Y$17:Y118)-SUM(J$17:J118),0))</f>
        <v>0</v>
      </c>
      <c r="O118" s="12" t="str">
        <f t="shared" ca="1" si="46"/>
        <v/>
      </c>
      <c r="P118" s="12" t="str">
        <f t="shared" ca="1" si="47"/>
        <v/>
      </c>
      <c r="Q118" s="178">
        <f t="shared" ref="Q118:T137" ca="1" si="77">OFFSET(Q118,-1,0,1,1)</f>
        <v>5000000</v>
      </c>
      <c r="R118" s="178">
        <f t="shared" ca="1" si="77"/>
        <v>0</v>
      </c>
      <c r="S118" s="178">
        <f t="shared" ca="1" si="77"/>
        <v>358488</v>
      </c>
      <c r="T118" s="178">
        <f t="shared" ca="1" si="77"/>
        <v>628000</v>
      </c>
      <c r="U118" s="179" t="str">
        <f t="shared" ca="1" si="48"/>
        <v/>
      </c>
      <c r="V118" s="180">
        <f t="shared" ca="1" si="40"/>
        <v>3.3299999999999996</v>
      </c>
      <c r="W118" s="181">
        <f t="shared" ca="1" si="67"/>
        <v>212</v>
      </c>
      <c r="X118" s="177">
        <f t="shared" ca="1" si="49"/>
        <v>16162.265532371795</v>
      </c>
      <c r="Y118" s="12">
        <f t="shared" ca="1" si="50"/>
        <v>7957.6533528846167</v>
      </c>
      <c r="Z118" s="182">
        <f t="shared" ca="1" si="51"/>
        <v>1731173.1698717952</v>
      </c>
      <c r="AA118" s="271">
        <f t="shared" ca="1" si="68"/>
        <v>0.22</v>
      </c>
      <c r="AB118" s="12">
        <f t="shared" ca="1" si="52"/>
        <v>14449.80179473717</v>
      </c>
      <c r="AC118" s="12">
        <f t="shared" ca="1" si="53"/>
        <v>14449.801794737181</v>
      </c>
      <c r="AD118" s="199"/>
      <c r="AE118" s="273">
        <f t="shared" ca="1" si="54"/>
        <v>1.6821425527395739E-3</v>
      </c>
      <c r="AF118" s="184">
        <f t="shared" ca="1" si="55"/>
        <v>0.84505303159293388</v>
      </c>
      <c r="AG118" s="12">
        <f t="shared" ca="1" si="56"/>
        <v>12210.848812559663</v>
      </c>
      <c r="AH118" s="12">
        <f t="shared" ca="1" si="57"/>
        <v>12210.848812559672</v>
      </c>
      <c r="AI118" s="185">
        <f t="shared" ca="1" si="58"/>
        <v>49</v>
      </c>
      <c r="AJ118" s="177">
        <f t="shared" ca="1" si="59"/>
        <v>49</v>
      </c>
      <c r="AK118" s="12">
        <f t="shared" ca="1" si="60"/>
        <v>-16211.265532371792</v>
      </c>
      <c r="AL118" s="185">
        <f t="shared" ca="1" si="69"/>
        <v>16162.265532371792</v>
      </c>
      <c r="AM118" s="177">
        <f t="shared" ca="1" si="70"/>
        <v>16199.801633092946</v>
      </c>
      <c r="AN118" s="177">
        <f t="shared" ca="1" si="71"/>
        <v>12834.106174283936</v>
      </c>
      <c r="AO118" s="196">
        <f t="shared" ca="1" si="72"/>
        <v>212</v>
      </c>
      <c r="AP118" s="196">
        <f t="shared" ca="1" si="73"/>
        <v>149</v>
      </c>
      <c r="AQ118" s="177">
        <f t="shared" ca="1" si="74"/>
        <v>0</v>
      </c>
      <c r="AR118" s="177">
        <f t="shared" ca="1" si="75"/>
        <v>37.536100721154071</v>
      </c>
      <c r="AS118" s="189"/>
      <c r="AT118" s="190"/>
      <c r="AU118" s="190"/>
    </row>
    <row r="119" spans="1:47" x14ac:dyDescent="0.6">
      <c r="A119" s="152" t="str">
        <f t="shared" ca="1" si="41"/>
        <v>Juni 2033</v>
      </c>
      <c r="B119" s="191">
        <v>0</v>
      </c>
      <c r="C119" s="270">
        <f t="shared" ca="1" si="61"/>
        <v>5.4899999999999997E-2</v>
      </c>
      <c r="D119" s="192" t="str">
        <f t="shared" ca="1" si="62"/>
        <v/>
      </c>
      <c r="E119" s="193" t="str">
        <f t="shared" ca="1" si="63"/>
        <v/>
      </c>
      <c r="F119" s="194">
        <f t="shared" ca="1" si="64"/>
        <v>49</v>
      </c>
      <c r="G119" s="14">
        <v>102</v>
      </c>
      <c r="H119" s="157">
        <f t="shared" ca="1" si="65"/>
        <v>211</v>
      </c>
      <c r="I119" s="16">
        <f t="shared" ca="1" si="66"/>
        <v>16124.729431650638</v>
      </c>
      <c r="J119" s="16">
        <f t="shared" ca="1" si="42"/>
        <v>7920.1172521634908</v>
      </c>
      <c r="K119" s="158">
        <f t="shared" ca="1" si="43"/>
        <v>8204.6121794871469</v>
      </c>
      <c r="L119" s="158">
        <f t="shared" ca="1" si="44"/>
        <v>1722968.557692314</v>
      </c>
      <c r="M119" s="15">
        <f t="shared" ca="1" si="45"/>
        <v>-2.8194335754960775E-11</v>
      </c>
      <c r="N119" s="16">
        <f ca="1">IF(Y119=0, 0, ROUND(SUM(Y$17:Y119)-SUM(J$17:J119),0))</f>
        <v>0</v>
      </c>
      <c r="O119" s="16" t="str">
        <f t="shared" ca="1" si="46"/>
        <v/>
      </c>
      <c r="P119" s="16">
        <f t="shared" ca="1" si="47"/>
        <v>3270000</v>
      </c>
      <c r="Q119" s="160">
        <f t="shared" ca="1" si="77"/>
        <v>5000000</v>
      </c>
      <c r="R119" s="160">
        <f t="shared" ca="1" si="77"/>
        <v>0</v>
      </c>
      <c r="S119" s="160">
        <f t="shared" ca="1" si="77"/>
        <v>358488</v>
      </c>
      <c r="T119" s="160">
        <f t="shared" ca="1" si="77"/>
        <v>628000</v>
      </c>
      <c r="U119" s="161" t="str">
        <f t="shared" ca="1" si="48"/>
        <v/>
      </c>
      <c r="V119" s="162">
        <f t="shared" ca="1" si="40"/>
        <v>3.32</v>
      </c>
      <c r="W119" s="195">
        <f t="shared" ca="1" si="67"/>
        <v>211</v>
      </c>
      <c r="X119" s="158">
        <f t="shared" ca="1" si="49"/>
        <v>16124.729431650641</v>
      </c>
      <c r="Y119" s="16">
        <f t="shared" ca="1" si="50"/>
        <v>7920.1172521634626</v>
      </c>
      <c r="Z119" s="164">
        <f t="shared" ca="1" si="51"/>
        <v>1722968.557692308</v>
      </c>
      <c r="AA119" s="272">
        <f t="shared" ca="1" si="68"/>
        <v>0.22</v>
      </c>
      <c r="AB119" s="16">
        <f t="shared" ca="1" si="52"/>
        <v>14420.52363617467</v>
      </c>
      <c r="AC119" s="16">
        <f t="shared" ca="1" si="53"/>
        <v>14420.523636174681</v>
      </c>
      <c r="AD119" s="197"/>
      <c r="AE119" s="274">
        <f t="shared" ca="1" si="54"/>
        <v>1.6821425527395739E-3</v>
      </c>
      <c r="AF119" s="166">
        <f t="shared" ca="1" si="55"/>
        <v>0.84363153192916984</v>
      </c>
      <c r="AG119" s="16">
        <f t="shared" ca="1" si="56"/>
        <v>12165.608446406839</v>
      </c>
      <c r="AH119" s="16">
        <f t="shared" ca="1" si="57"/>
        <v>12165.608446406848</v>
      </c>
      <c r="AI119" s="168">
        <f t="shared" ca="1" si="58"/>
        <v>49</v>
      </c>
      <c r="AJ119" s="158">
        <f t="shared" ca="1" si="59"/>
        <v>49</v>
      </c>
      <c r="AK119" s="16">
        <f t="shared" ca="1" si="60"/>
        <v>-16173.729431650638</v>
      </c>
      <c r="AL119" s="168">
        <f t="shared" ca="1" si="69"/>
        <v>16124.729431650638</v>
      </c>
      <c r="AM119" s="158">
        <f t="shared" ca="1" si="70"/>
        <v>16162.265532371792</v>
      </c>
      <c r="AN119" s="158">
        <f t="shared" ca="1" si="71"/>
        <v>12809.480104619519</v>
      </c>
      <c r="AO119" s="169">
        <f t="shared" ca="1" si="72"/>
        <v>211</v>
      </c>
      <c r="AP119" s="169">
        <f t="shared" ca="1" si="73"/>
        <v>148</v>
      </c>
      <c r="AQ119" s="158">
        <f t="shared" ca="1" si="74"/>
        <v>0</v>
      </c>
      <c r="AR119" s="158">
        <f t="shared" ca="1" si="75"/>
        <v>37.536100721154071</v>
      </c>
      <c r="AS119" s="170"/>
      <c r="AT119" s="159"/>
      <c r="AU119" s="159"/>
    </row>
    <row r="120" spans="1:47" x14ac:dyDescent="0.6">
      <c r="A120" s="171" t="str">
        <f t="shared" ca="1" si="41"/>
        <v>Juli 2033</v>
      </c>
      <c r="B120" s="191">
        <v>0</v>
      </c>
      <c r="C120" s="269">
        <f t="shared" ca="1" si="61"/>
        <v>5.4899999999999997E-2</v>
      </c>
      <c r="D120" s="173" t="str">
        <f t="shared" ca="1" si="62"/>
        <v/>
      </c>
      <c r="E120" s="174" t="str">
        <f t="shared" ca="1" si="63"/>
        <v/>
      </c>
      <c r="F120" s="175">
        <f t="shared" ca="1" si="64"/>
        <v>49</v>
      </c>
      <c r="G120" s="10">
        <v>103</v>
      </c>
      <c r="H120" s="176">
        <f t="shared" ca="1" si="65"/>
        <v>210</v>
      </c>
      <c r="I120" s="12">
        <f t="shared" ca="1" si="66"/>
        <v>16087.193330929484</v>
      </c>
      <c r="J120" s="12">
        <f t="shared" ca="1" si="42"/>
        <v>7882.5811514423367</v>
      </c>
      <c r="K120" s="177">
        <f t="shared" ca="1" si="43"/>
        <v>8204.6121794871469</v>
      </c>
      <c r="L120" s="177">
        <f t="shared" ca="1" si="44"/>
        <v>1714763.9455128268</v>
      </c>
      <c r="M120" s="11">
        <f t="shared" ca="1" si="45"/>
        <v>-2.8194335754960775E-11</v>
      </c>
      <c r="N120" s="12">
        <f ca="1">IF(Y120=0, 0, ROUND(SUM(Y$17:Y120)-SUM(J$17:J120),0))</f>
        <v>0</v>
      </c>
      <c r="O120" s="12" t="str">
        <f t="shared" ca="1" si="46"/>
        <v/>
      </c>
      <c r="P120" s="12">
        <f t="shared" ca="1" si="47"/>
        <v>3280000</v>
      </c>
      <c r="Q120" s="178">
        <f t="shared" ca="1" si="77"/>
        <v>5000000</v>
      </c>
      <c r="R120" s="178">
        <f t="shared" ca="1" si="77"/>
        <v>0</v>
      </c>
      <c r="S120" s="178">
        <f t="shared" ca="1" si="77"/>
        <v>358488</v>
      </c>
      <c r="T120" s="178">
        <f t="shared" ca="1" si="77"/>
        <v>628000</v>
      </c>
      <c r="U120" s="179" t="str">
        <f t="shared" ca="1" si="48"/>
        <v/>
      </c>
      <c r="V120" s="180">
        <f t="shared" ca="1" si="40"/>
        <v>3.3099999999999996</v>
      </c>
      <c r="W120" s="181">
        <f t="shared" ca="1" si="67"/>
        <v>210</v>
      </c>
      <c r="X120" s="177">
        <f t="shared" ca="1" si="49"/>
        <v>16087.193330929487</v>
      </c>
      <c r="Y120" s="12">
        <f t="shared" ca="1" si="50"/>
        <v>7882.5811514423085</v>
      </c>
      <c r="Z120" s="182">
        <f t="shared" ca="1" si="51"/>
        <v>1714763.945512821</v>
      </c>
      <c r="AA120" s="271">
        <f t="shared" ca="1" si="68"/>
        <v>0.22</v>
      </c>
      <c r="AB120" s="12">
        <f t="shared" ca="1" si="52"/>
        <v>14391.24547761217</v>
      </c>
      <c r="AC120" s="12">
        <f t="shared" ca="1" si="53"/>
        <v>14391.245477612181</v>
      </c>
      <c r="AD120" s="199"/>
      <c r="AE120" s="273">
        <f t="shared" ca="1" si="54"/>
        <v>1.6821425527395739E-3</v>
      </c>
      <c r="AF120" s="184">
        <f t="shared" ca="1" si="55"/>
        <v>0.84221242343047886</v>
      </c>
      <c r="AG120" s="12">
        <f t="shared" ca="1" si="56"/>
        <v>12120.485729882665</v>
      </c>
      <c r="AH120" s="12">
        <f t="shared" ca="1" si="57"/>
        <v>12120.485729882674</v>
      </c>
      <c r="AI120" s="185">
        <f t="shared" ca="1" si="58"/>
        <v>49</v>
      </c>
      <c r="AJ120" s="177">
        <f t="shared" ca="1" si="59"/>
        <v>49</v>
      </c>
      <c r="AK120" s="12">
        <f t="shared" ca="1" si="60"/>
        <v>-16136.193330929484</v>
      </c>
      <c r="AL120" s="185">
        <f t="shared" ca="1" si="69"/>
        <v>16087.193330929484</v>
      </c>
      <c r="AM120" s="177">
        <f t="shared" ca="1" si="70"/>
        <v>16124.729431650638</v>
      </c>
      <c r="AN120" s="177">
        <f t="shared" ca="1" si="71"/>
        <v>12784.880082233987</v>
      </c>
      <c r="AO120" s="196">
        <f t="shared" ca="1" si="72"/>
        <v>210</v>
      </c>
      <c r="AP120" s="196">
        <f t="shared" ca="1" si="73"/>
        <v>148</v>
      </c>
      <c r="AQ120" s="177">
        <f t="shared" ca="1" si="74"/>
        <v>0</v>
      </c>
      <c r="AR120" s="177">
        <f t="shared" ca="1" si="75"/>
        <v>37.536100721154071</v>
      </c>
      <c r="AS120" s="189"/>
      <c r="AT120" s="190"/>
      <c r="AU120" s="190"/>
    </row>
    <row r="121" spans="1:47" x14ac:dyDescent="0.6">
      <c r="A121" s="152" t="str">
        <f t="shared" ca="1" si="41"/>
        <v>August 2033</v>
      </c>
      <c r="B121" s="191">
        <v>0</v>
      </c>
      <c r="C121" s="270">
        <f t="shared" ca="1" si="61"/>
        <v>5.4899999999999997E-2</v>
      </c>
      <c r="D121" s="192" t="str">
        <f t="shared" ca="1" si="62"/>
        <v/>
      </c>
      <c r="E121" s="193" t="str">
        <f t="shared" ca="1" si="63"/>
        <v/>
      </c>
      <c r="F121" s="194">
        <f t="shared" ca="1" si="64"/>
        <v>49</v>
      </c>
      <c r="G121" s="14">
        <v>104</v>
      </c>
      <c r="H121" s="157">
        <f t="shared" ca="1" si="65"/>
        <v>209</v>
      </c>
      <c r="I121" s="16">
        <f t="shared" ca="1" si="66"/>
        <v>16049.65723020833</v>
      </c>
      <c r="J121" s="16">
        <f t="shared" ca="1" si="42"/>
        <v>7845.0450507211826</v>
      </c>
      <c r="K121" s="158">
        <f t="shared" ca="1" si="43"/>
        <v>8204.6121794871469</v>
      </c>
      <c r="L121" s="158">
        <f t="shared" ca="1" si="44"/>
        <v>1706559.3333333395</v>
      </c>
      <c r="M121" s="15">
        <f t="shared" ca="1" si="45"/>
        <v>-2.6375346351414919E-11</v>
      </c>
      <c r="N121" s="16">
        <f ca="1">IF(Y121=0, 0, ROUND(SUM(Y$17:Y121)-SUM(J$17:J121),0))</f>
        <v>0</v>
      </c>
      <c r="O121" s="16" t="str">
        <f t="shared" ca="1" si="46"/>
        <v/>
      </c>
      <c r="P121" s="16">
        <f t="shared" ca="1" si="47"/>
        <v>3290000</v>
      </c>
      <c r="Q121" s="160">
        <f t="shared" ca="1" si="77"/>
        <v>5000000</v>
      </c>
      <c r="R121" s="160">
        <f t="shared" ca="1" si="77"/>
        <v>0</v>
      </c>
      <c r="S121" s="160">
        <f t="shared" ca="1" si="77"/>
        <v>358488</v>
      </c>
      <c r="T121" s="160">
        <f t="shared" ca="1" si="77"/>
        <v>628000</v>
      </c>
      <c r="U121" s="161" t="str">
        <f t="shared" ca="1" si="48"/>
        <v/>
      </c>
      <c r="V121" s="162">
        <f t="shared" ca="1" si="40"/>
        <v>3.2899999999999996</v>
      </c>
      <c r="W121" s="195">
        <f t="shared" ca="1" si="67"/>
        <v>209</v>
      </c>
      <c r="X121" s="158">
        <f t="shared" ca="1" si="49"/>
        <v>16049.657230208337</v>
      </c>
      <c r="Y121" s="16">
        <f t="shared" ca="1" si="50"/>
        <v>7845.0450507211563</v>
      </c>
      <c r="Z121" s="164">
        <f t="shared" ca="1" si="51"/>
        <v>1706559.3333333337</v>
      </c>
      <c r="AA121" s="272">
        <f t="shared" ca="1" si="68"/>
        <v>0.22</v>
      </c>
      <c r="AB121" s="16">
        <f t="shared" ca="1" si="52"/>
        <v>14361.967319049669</v>
      </c>
      <c r="AC121" s="16">
        <f t="shared" ca="1" si="53"/>
        <v>14361.967319049681</v>
      </c>
      <c r="AD121" s="197"/>
      <c r="AE121" s="274">
        <f t="shared" ca="1" si="54"/>
        <v>1.6821425527395739E-3</v>
      </c>
      <c r="AF121" s="166">
        <f t="shared" ca="1" si="55"/>
        <v>0.84079570207458054</v>
      </c>
      <c r="AG121" s="16">
        <f t="shared" ca="1" si="56"/>
        <v>12075.480395192548</v>
      </c>
      <c r="AH121" s="16">
        <f t="shared" ca="1" si="57"/>
        <v>12075.480395192559</v>
      </c>
      <c r="AI121" s="168">
        <f t="shared" ca="1" si="58"/>
        <v>49</v>
      </c>
      <c r="AJ121" s="158">
        <f t="shared" ca="1" si="59"/>
        <v>49</v>
      </c>
      <c r="AK121" s="16">
        <f t="shared" ca="1" si="60"/>
        <v>-16098.65723020833</v>
      </c>
      <c r="AL121" s="168">
        <f t="shared" ca="1" si="69"/>
        <v>16049.65723020833</v>
      </c>
      <c r="AM121" s="158">
        <f t="shared" ca="1" si="70"/>
        <v>16087.193330929484</v>
      </c>
      <c r="AN121" s="158">
        <f t="shared" ca="1" si="71"/>
        <v>12760.306129592031</v>
      </c>
      <c r="AO121" s="169">
        <f t="shared" ca="1" si="72"/>
        <v>209</v>
      </c>
      <c r="AP121" s="169">
        <f t="shared" ca="1" si="73"/>
        <v>147</v>
      </c>
      <c r="AQ121" s="158">
        <f t="shared" ca="1" si="74"/>
        <v>0</v>
      </c>
      <c r="AR121" s="158">
        <f t="shared" ca="1" si="75"/>
        <v>37.536100721154071</v>
      </c>
      <c r="AS121" s="170"/>
      <c r="AT121" s="159"/>
      <c r="AU121" s="159"/>
    </row>
    <row r="122" spans="1:47" x14ac:dyDescent="0.6">
      <c r="A122" s="171" t="str">
        <f t="shared" ca="1" si="41"/>
        <v>September 2033</v>
      </c>
      <c r="B122" s="191">
        <v>0</v>
      </c>
      <c r="C122" s="269">
        <f t="shared" ca="1" si="61"/>
        <v>5.4899999999999997E-2</v>
      </c>
      <c r="D122" s="173" t="str">
        <f t="shared" ca="1" si="62"/>
        <v/>
      </c>
      <c r="E122" s="174" t="str">
        <f t="shared" ca="1" si="63"/>
        <v/>
      </c>
      <c r="F122" s="175">
        <f t="shared" ca="1" si="64"/>
        <v>49</v>
      </c>
      <c r="G122" s="10">
        <v>105</v>
      </c>
      <c r="H122" s="176">
        <f t="shared" ca="1" si="65"/>
        <v>208</v>
      </c>
      <c r="I122" s="12">
        <f t="shared" ca="1" si="66"/>
        <v>16012.121129487175</v>
      </c>
      <c r="J122" s="12">
        <f t="shared" ca="1" si="42"/>
        <v>7807.5089500000286</v>
      </c>
      <c r="K122" s="177">
        <f t="shared" ca="1" si="43"/>
        <v>8204.6121794871469</v>
      </c>
      <c r="L122" s="177">
        <f t="shared" ca="1" si="44"/>
        <v>1698354.7211538523</v>
      </c>
      <c r="M122" s="11">
        <f t="shared" ca="1" si="45"/>
        <v>-2.6375346351414919E-11</v>
      </c>
      <c r="N122" s="12">
        <f ca="1">IF(Y122=0, 0, ROUND(SUM(Y$17:Y122)-SUM(J$17:J122),0))</f>
        <v>0</v>
      </c>
      <c r="O122" s="12" t="str">
        <f t="shared" ca="1" si="46"/>
        <v/>
      </c>
      <c r="P122" s="12">
        <f t="shared" ca="1" si="47"/>
        <v>3300000</v>
      </c>
      <c r="Q122" s="178">
        <f t="shared" ca="1" si="77"/>
        <v>5000000</v>
      </c>
      <c r="R122" s="178">
        <f t="shared" ca="1" si="77"/>
        <v>0</v>
      </c>
      <c r="S122" s="178">
        <f t="shared" ca="1" si="77"/>
        <v>358488</v>
      </c>
      <c r="T122" s="178">
        <f t="shared" ca="1" si="77"/>
        <v>628000</v>
      </c>
      <c r="U122" s="179" t="str">
        <f t="shared" ca="1" si="48"/>
        <v/>
      </c>
      <c r="V122" s="180">
        <f t="shared" ca="1" si="40"/>
        <v>3.28</v>
      </c>
      <c r="W122" s="181">
        <f t="shared" ca="1" si="67"/>
        <v>208</v>
      </c>
      <c r="X122" s="177">
        <f t="shared" ca="1" si="49"/>
        <v>16012.121129487183</v>
      </c>
      <c r="Y122" s="12">
        <f t="shared" ca="1" si="50"/>
        <v>7807.5089500000022</v>
      </c>
      <c r="Z122" s="182">
        <f t="shared" ca="1" si="51"/>
        <v>1698354.7211538465</v>
      </c>
      <c r="AA122" s="271">
        <f t="shared" ca="1" si="68"/>
        <v>0.22</v>
      </c>
      <c r="AB122" s="12">
        <f t="shared" ca="1" si="52"/>
        <v>14332.689160487171</v>
      </c>
      <c r="AC122" s="12">
        <f t="shared" ca="1" si="53"/>
        <v>14332.689160487182</v>
      </c>
      <c r="AD122" s="199"/>
      <c r="AE122" s="273">
        <f t="shared" ca="1" si="54"/>
        <v>1.6821425527395739E-3</v>
      </c>
      <c r="AF122" s="184">
        <f t="shared" ca="1" si="55"/>
        <v>0.83938136384596029</v>
      </c>
      <c r="AG122" s="12">
        <f t="shared" ca="1" si="56"/>
        <v>12030.592175109932</v>
      </c>
      <c r="AH122" s="12">
        <f t="shared" ca="1" si="57"/>
        <v>12030.592175109941</v>
      </c>
      <c r="AI122" s="185">
        <f t="shared" ca="1" si="58"/>
        <v>49</v>
      </c>
      <c r="AJ122" s="177">
        <f t="shared" ca="1" si="59"/>
        <v>49</v>
      </c>
      <c r="AK122" s="12">
        <f t="shared" ca="1" si="60"/>
        <v>-16061.121129487175</v>
      </c>
      <c r="AL122" s="185">
        <f t="shared" ca="1" si="69"/>
        <v>16012.121129487175</v>
      </c>
      <c r="AM122" s="177">
        <f t="shared" ca="1" si="70"/>
        <v>16049.65723020833</v>
      </c>
      <c r="AN122" s="177">
        <f t="shared" ca="1" si="71"/>
        <v>12735.758269074495</v>
      </c>
      <c r="AO122" s="196">
        <f t="shared" ca="1" si="72"/>
        <v>208</v>
      </c>
      <c r="AP122" s="196">
        <f t="shared" ca="1" si="73"/>
        <v>146</v>
      </c>
      <c r="AQ122" s="177">
        <f t="shared" ca="1" si="74"/>
        <v>0</v>
      </c>
      <c r="AR122" s="177">
        <f t="shared" ca="1" si="75"/>
        <v>37.536100721154071</v>
      </c>
      <c r="AS122" s="189"/>
      <c r="AT122" s="190"/>
      <c r="AU122" s="190"/>
    </row>
    <row r="123" spans="1:47" x14ac:dyDescent="0.6">
      <c r="A123" s="152" t="str">
        <f t="shared" ca="1" si="41"/>
        <v>Oktober 2033</v>
      </c>
      <c r="B123" s="191">
        <v>0</v>
      </c>
      <c r="C123" s="270">
        <f t="shared" ca="1" si="61"/>
        <v>5.4899999999999997E-2</v>
      </c>
      <c r="D123" s="192" t="str">
        <f t="shared" ca="1" si="62"/>
        <v/>
      </c>
      <c r="E123" s="193" t="str">
        <f t="shared" ca="1" si="63"/>
        <v/>
      </c>
      <c r="F123" s="194">
        <f t="shared" ca="1" si="64"/>
        <v>49</v>
      </c>
      <c r="G123" s="14">
        <v>106</v>
      </c>
      <c r="H123" s="157">
        <f t="shared" ca="1" si="65"/>
        <v>207</v>
      </c>
      <c r="I123" s="16">
        <f t="shared" ca="1" si="66"/>
        <v>15974.585028766021</v>
      </c>
      <c r="J123" s="16">
        <f t="shared" ca="1" si="42"/>
        <v>7769.9728492788745</v>
      </c>
      <c r="K123" s="158">
        <f t="shared" ca="1" si="43"/>
        <v>8204.6121794871469</v>
      </c>
      <c r="L123" s="158">
        <f t="shared" ca="1" si="44"/>
        <v>1690150.1089743651</v>
      </c>
      <c r="M123" s="15">
        <f t="shared" ca="1" si="45"/>
        <v>-2.6375346351414919E-11</v>
      </c>
      <c r="N123" s="16">
        <f ca="1">IF(Y123=0, 0, ROUND(SUM(Y$17:Y123)-SUM(J$17:J123),0))</f>
        <v>0</v>
      </c>
      <c r="O123" s="16" t="str">
        <f t="shared" ca="1" si="46"/>
        <v/>
      </c>
      <c r="P123" s="16" t="str">
        <f t="shared" ca="1" si="47"/>
        <v/>
      </c>
      <c r="Q123" s="160">
        <f t="shared" ca="1" si="77"/>
        <v>5000000</v>
      </c>
      <c r="R123" s="160">
        <f t="shared" ca="1" si="77"/>
        <v>0</v>
      </c>
      <c r="S123" s="160">
        <f t="shared" ca="1" si="77"/>
        <v>358488</v>
      </c>
      <c r="T123" s="160">
        <f t="shared" ca="1" si="77"/>
        <v>628000</v>
      </c>
      <c r="U123" s="161" t="str">
        <f t="shared" ca="1" si="48"/>
        <v/>
      </c>
      <c r="V123" s="162">
        <f t="shared" ca="1" si="40"/>
        <v>3.2699999999999996</v>
      </c>
      <c r="W123" s="195">
        <f t="shared" ca="1" si="67"/>
        <v>207</v>
      </c>
      <c r="X123" s="158">
        <f t="shared" ca="1" si="49"/>
        <v>15974.585028766029</v>
      </c>
      <c r="Y123" s="16">
        <f t="shared" ca="1" si="50"/>
        <v>7769.9728492788481</v>
      </c>
      <c r="Z123" s="164">
        <f t="shared" ca="1" si="51"/>
        <v>1690150.1089743595</v>
      </c>
      <c r="AA123" s="272">
        <f t="shared" ca="1" si="68"/>
        <v>0.22</v>
      </c>
      <c r="AB123" s="16">
        <f t="shared" ca="1" si="52"/>
        <v>14303.411001924669</v>
      </c>
      <c r="AC123" s="16">
        <f t="shared" ca="1" si="53"/>
        <v>14303.411001924682</v>
      </c>
      <c r="AD123" s="197"/>
      <c r="AE123" s="274">
        <f t="shared" ca="1" si="54"/>
        <v>1.6821425527395739E-3</v>
      </c>
      <c r="AF123" s="166">
        <f t="shared" ca="1" si="55"/>
        <v>0.83796940473585846</v>
      </c>
      <c r="AG123" s="16">
        <f t="shared" ca="1" si="56"/>
        <v>11985.820802975144</v>
      </c>
      <c r="AH123" s="16">
        <f t="shared" ca="1" si="57"/>
        <v>11985.820802975155</v>
      </c>
      <c r="AI123" s="168">
        <f t="shared" ca="1" si="58"/>
        <v>49</v>
      </c>
      <c r="AJ123" s="158">
        <f t="shared" ca="1" si="59"/>
        <v>49</v>
      </c>
      <c r="AK123" s="16">
        <f t="shared" ca="1" si="60"/>
        <v>-16023.585028766021</v>
      </c>
      <c r="AL123" s="168">
        <f t="shared" ca="1" si="69"/>
        <v>15974.585028766021</v>
      </c>
      <c r="AM123" s="158">
        <f t="shared" ca="1" si="70"/>
        <v>16012.121129487175</v>
      </c>
      <c r="AN123" s="158">
        <f t="shared" ca="1" si="71"/>
        <v>12711.236522978066</v>
      </c>
      <c r="AO123" s="169">
        <f t="shared" ca="1" si="72"/>
        <v>207</v>
      </c>
      <c r="AP123" s="169">
        <f t="shared" ca="1" si="73"/>
        <v>146</v>
      </c>
      <c r="AQ123" s="158">
        <f t="shared" ca="1" si="74"/>
        <v>0</v>
      </c>
      <c r="AR123" s="158">
        <f t="shared" ca="1" si="75"/>
        <v>37.536100721154071</v>
      </c>
      <c r="AS123" s="170"/>
      <c r="AT123" s="159"/>
      <c r="AU123" s="159"/>
    </row>
    <row r="124" spans="1:47" x14ac:dyDescent="0.6">
      <c r="A124" s="171" t="str">
        <f t="shared" ca="1" si="41"/>
        <v>November 2033</v>
      </c>
      <c r="B124" s="191">
        <v>0</v>
      </c>
      <c r="C124" s="269">
        <f t="shared" ca="1" si="61"/>
        <v>5.4899999999999997E-2</v>
      </c>
      <c r="D124" s="173" t="str">
        <f t="shared" ca="1" si="62"/>
        <v/>
      </c>
      <c r="E124" s="174" t="str">
        <f t="shared" ca="1" si="63"/>
        <v/>
      </c>
      <c r="F124" s="175">
        <f t="shared" ca="1" si="64"/>
        <v>49</v>
      </c>
      <c r="G124" s="10">
        <v>107</v>
      </c>
      <c r="H124" s="176">
        <f t="shared" ca="1" si="65"/>
        <v>206</v>
      </c>
      <c r="I124" s="12">
        <f t="shared" ca="1" si="66"/>
        <v>15937.048928044867</v>
      </c>
      <c r="J124" s="12">
        <f t="shared" ca="1" si="42"/>
        <v>7732.4367485577195</v>
      </c>
      <c r="K124" s="177">
        <f t="shared" ca="1" si="43"/>
        <v>8204.6121794871469</v>
      </c>
      <c r="L124" s="177">
        <f t="shared" ca="1" si="44"/>
        <v>1681945.4967948778</v>
      </c>
      <c r="M124" s="11">
        <f t="shared" ca="1" si="45"/>
        <v>-2.5465851649641991E-11</v>
      </c>
      <c r="N124" s="12">
        <f ca="1">IF(Y124=0, 0, ROUND(SUM(Y$17:Y124)-SUM(J$17:J124),0))</f>
        <v>0</v>
      </c>
      <c r="O124" s="12" t="str">
        <f t="shared" ca="1" si="46"/>
        <v/>
      </c>
      <c r="P124" s="12">
        <f t="shared" ca="1" si="47"/>
        <v>3310000</v>
      </c>
      <c r="Q124" s="178">
        <f t="shared" ca="1" si="77"/>
        <v>5000000</v>
      </c>
      <c r="R124" s="178">
        <f t="shared" ca="1" si="77"/>
        <v>0</v>
      </c>
      <c r="S124" s="178">
        <f t="shared" ca="1" si="77"/>
        <v>358488</v>
      </c>
      <c r="T124" s="178">
        <f t="shared" ca="1" si="77"/>
        <v>628000</v>
      </c>
      <c r="U124" s="179" t="str">
        <f t="shared" ca="1" si="48"/>
        <v/>
      </c>
      <c r="V124" s="180">
        <f t="shared" ca="1" si="40"/>
        <v>3.25</v>
      </c>
      <c r="W124" s="181">
        <f t="shared" ca="1" si="67"/>
        <v>206</v>
      </c>
      <c r="X124" s="177">
        <f t="shared" ca="1" si="49"/>
        <v>15937.048928044875</v>
      </c>
      <c r="Y124" s="12">
        <f t="shared" ca="1" si="50"/>
        <v>7732.436748557694</v>
      </c>
      <c r="Z124" s="182">
        <f t="shared" ca="1" si="51"/>
        <v>1681945.4967948722</v>
      </c>
      <c r="AA124" s="271">
        <f t="shared" ca="1" si="68"/>
        <v>0.22</v>
      </c>
      <c r="AB124" s="12">
        <f t="shared" ca="1" si="52"/>
        <v>14274.132843362167</v>
      </c>
      <c r="AC124" s="12">
        <f t="shared" ca="1" si="53"/>
        <v>14274.132843362182</v>
      </c>
      <c r="AD124" s="199"/>
      <c r="AE124" s="273">
        <f t="shared" ca="1" si="54"/>
        <v>1.6821425527395739E-3</v>
      </c>
      <c r="AF124" s="184">
        <f t="shared" ca="1" si="55"/>
        <v>0.83655982074225843</v>
      </c>
      <c r="AG124" s="12">
        <f t="shared" ca="1" si="56"/>
        <v>11941.166012694239</v>
      </c>
      <c r="AH124" s="12">
        <f t="shared" ca="1" si="57"/>
        <v>11941.166012694252</v>
      </c>
      <c r="AI124" s="185">
        <f t="shared" ca="1" si="58"/>
        <v>49</v>
      </c>
      <c r="AJ124" s="177">
        <f t="shared" ca="1" si="59"/>
        <v>49</v>
      </c>
      <c r="AK124" s="12">
        <f t="shared" ca="1" si="60"/>
        <v>-15986.048928044867</v>
      </c>
      <c r="AL124" s="185">
        <f t="shared" ca="1" si="69"/>
        <v>15937.048928044867</v>
      </c>
      <c r="AM124" s="177">
        <f t="shared" ca="1" si="70"/>
        <v>15974.585028766021</v>
      </c>
      <c r="AN124" s="177">
        <f t="shared" ca="1" si="71"/>
        <v>12686.74091351497</v>
      </c>
      <c r="AO124" s="196">
        <f t="shared" ca="1" si="72"/>
        <v>206</v>
      </c>
      <c r="AP124" s="196">
        <f t="shared" ca="1" si="73"/>
        <v>145</v>
      </c>
      <c r="AQ124" s="177">
        <f t="shared" ca="1" si="74"/>
        <v>0</v>
      </c>
      <c r="AR124" s="177">
        <f t="shared" ca="1" si="75"/>
        <v>37.536100721154071</v>
      </c>
      <c r="AS124" s="189"/>
      <c r="AT124" s="190"/>
      <c r="AU124" s="190"/>
    </row>
    <row r="125" spans="1:47" x14ac:dyDescent="0.6">
      <c r="A125" s="152" t="str">
        <f t="shared" ca="1" si="41"/>
        <v>Desember 2033</v>
      </c>
      <c r="B125" s="191">
        <v>0</v>
      </c>
      <c r="C125" s="270">
        <f t="shared" ca="1" si="61"/>
        <v>5.4899999999999997E-2</v>
      </c>
      <c r="D125" s="192" t="str">
        <f t="shared" ca="1" si="62"/>
        <v/>
      </c>
      <c r="E125" s="193" t="str">
        <f t="shared" ca="1" si="63"/>
        <v/>
      </c>
      <c r="F125" s="194">
        <f t="shared" ca="1" si="64"/>
        <v>49</v>
      </c>
      <c r="G125" s="14">
        <v>108</v>
      </c>
      <c r="H125" s="157">
        <f t="shared" ca="1" si="65"/>
        <v>205</v>
      </c>
      <c r="I125" s="16">
        <f t="shared" ca="1" si="66"/>
        <v>15899.512827323713</v>
      </c>
      <c r="J125" s="16">
        <f t="shared" ca="1" si="42"/>
        <v>7694.9006478365654</v>
      </c>
      <c r="K125" s="158">
        <f t="shared" ca="1" si="43"/>
        <v>8204.6121794871469</v>
      </c>
      <c r="L125" s="158">
        <f t="shared" ca="1" si="44"/>
        <v>1673740.8846153906</v>
      </c>
      <c r="M125" s="15">
        <f t="shared" ca="1" si="45"/>
        <v>-2.5465851649641991E-11</v>
      </c>
      <c r="N125" s="16">
        <f ca="1">IF(Y125=0, 0, ROUND(SUM(Y$17:Y125)-SUM(J$17:J125),0))</f>
        <v>0</v>
      </c>
      <c r="O125" s="16" t="str">
        <f t="shared" ca="1" si="46"/>
        <v/>
      </c>
      <c r="P125" s="16">
        <f t="shared" ca="1" si="47"/>
        <v>3320000</v>
      </c>
      <c r="Q125" s="160">
        <f t="shared" ca="1" si="77"/>
        <v>5000000</v>
      </c>
      <c r="R125" s="160">
        <f t="shared" ca="1" si="77"/>
        <v>0</v>
      </c>
      <c r="S125" s="160">
        <f t="shared" ca="1" si="77"/>
        <v>358488</v>
      </c>
      <c r="T125" s="160">
        <f t="shared" ca="1" si="77"/>
        <v>628000</v>
      </c>
      <c r="U125" s="161" t="str">
        <f t="shared" ca="1" si="48"/>
        <v/>
      </c>
      <c r="V125" s="162">
        <f t="shared" ca="1" si="40"/>
        <v>3.2399999999999998</v>
      </c>
      <c r="W125" s="195">
        <f t="shared" ca="1" si="67"/>
        <v>205</v>
      </c>
      <c r="X125" s="158">
        <f t="shared" ca="1" si="49"/>
        <v>15899.512827323721</v>
      </c>
      <c r="Y125" s="16">
        <f t="shared" ca="1" si="50"/>
        <v>7694.90064783654</v>
      </c>
      <c r="Z125" s="164">
        <f t="shared" ca="1" si="51"/>
        <v>1673740.884615385</v>
      </c>
      <c r="AA125" s="272">
        <f t="shared" ca="1" si="68"/>
        <v>0.22</v>
      </c>
      <c r="AB125" s="16">
        <f t="shared" ca="1" si="52"/>
        <v>14244.854684799669</v>
      </c>
      <c r="AC125" s="16">
        <f t="shared" ca="1" si="53"/>
        <v>14244.85468479968</v>
      </c>
      <c r="AD125" s="197"/>
      <c r="AE125" s="274">
        <f t="shared" ca="1" si="54"/>
        <v>1.6821425527395739E-3</v>
      </c>
      <c r="AF125" s="166">
        <f t="shared" ca="1" si="55"/>
        <v>0.83515260786987566</v>
      </c>
      <c r="AG125" s="16">
        <f t="shared" ca="1" si="56"/>
        <v>11896.627538737859</v>
      </c>
      <c r="AH125" s="16">
        <f t="shared" ca="1" si="57"/>
        <v>11896.627538737868</v>
      </c>
      <c r="AI125" s="168">
        <f t="shared" ca="1" si="58"/>
        <v>49</v>
      </c>
      <c r="AJ125" s="158">
        <f t="shared" ca="1" si="59"/>
        <v>49</v>
      </c>
      <c r="AK125" s="16">
        <f t="shared" ca="1" si="60"/>
        <v>-15948.512827323713</v>
      </c>
      <c r="AL125" s="168">
        <f t="shared" ca="1" si="69"/>
        <v>15899.512827323713</v>
      </c>
      <c r="AM125" s="158">
        <f t="shared" ca="1" si="70"/>
        <v>15937.048928044867</v>
      </c>
      <c r="AN125" s="158">
        <f t="shared" ca="1" si="71"/>
        <v>12662.2714628127</v>
      </c>
      <c r="AO125" s="169">
        <f t="shared" ca="1" si="72"/>
        <v>205</v>
      </c>
      <c r="AP125" s="169">
        <f t="shared" ca="1" si="73"/>
        <v>145</v>
      </c>
      <c r="AQ125" s="158">
        <f t="shared" ca="1" si="74"/>
        <v>0</v>
      </c>
      <c r="AR125" s="158">
        <f t="shared" ca="1" si="75"/>
        <v>37.536100721154071</v>
      </c>
      <c r="AS125" s="170"/>
      <c r="AT125" s="159"/>
      <c r="AU125" s="159"/>
    </row>
    <row r="126" spans="1:47" x14ac:dyDescent="0.6">
      <c r="A126" s="171" t="str">
        <f t="shared" ca="1" si="41"/>
        <v>Januar 2034</v>
      </c>
      <c r="B126" s="191">
        <v>0</v>
      </c>
      <c r="C126" s="269">
        <f t="shared" ca="1" si="61"/>
        <v>5.4899999999999997E-2</v>
      </c>
      <c r="D126" s="173" t="str">
        <f t="shared" ca="1" si="62"/>
        <v/>
      </c>
      <c r="E126" s="174" t="str">
        <f t="shared" ca="1" si="63"/>
        <v/>
      </c>
      <c r="F126" s="175">
        <f t="shared" ca="1" si="64"/>
        <v>49</v>
      </c>
      <c r="G126" s="10">
        <v>109</v>
      </c>
      <c r="H126" s="176">
        <f t="shared" ca="1" si="65"/>
        <v>204</v>
      </c>
      <c r="I126" s="12">
        <f t="shared" ca="1" si="66"/>
        <v>15861.976726602559</v>
      </c>
      <c r="J126" s="12">
        <f t="shared" ca="1" si="42"/>
        <v>7657.3645471154114</v>
      </c>
      <c r="K126" s="177">
        <f t="shared" ca="1" si="43"/>
        <v>8204.6121794871469</v>
      </c>
      <c r="L126" s="177">
        <f t="shared" ca="1" si="44"/>
        <v>1665536.2724359033</v>
      </c>
      <c r="M126" s="11">
        <f t="shared" ca="1" si="45"/>
        <v>-2.5465851649641991E-11</v>
      </c>
      <c r="N126" s="12">
        <f ca="1">IF(Y126=0, 0, ROUND(SUM(Y$17:Y126)-SUM(J$17:J126),0))</f>
        <v>0</v>
      </c>
      <c r="O126" s="12" t="str">
        <f t="shared" ca="1" si="46"/>
        <v/>
      </c>
      <c r="P126" s="12">
        <f t="shared" ca="1" si="47"/>
        <v>3330000</v>
      </c>
      <c r="Q126" s="178">
        <f t="shared" ca="1" si="77"/>
        <v>5000000</v>
      </c>
      <c r="R126" s="178">
        <f t="shared" ca="1" si="77"/>
        <v>0</v>
      </c>
      <c r="S126" s="178">
        <f t="shared" ca="1" si="77"/>
        <v>358488</v>
      </c>
      <c r="T126" s="178">
        <f t="shared" ca="1" si="77"/>
        <v>628000</v>
      </c>
      <c r="U126" s="179" t="str">
        <f t="shared" ca="1" si="48"/>
        <v/>
      </c>
      <c r="V126" s="180">
        <f t="shared" ca="1" si="40"/>
        <v>3.23</v>
      </c>
      <c r="W126" s="181">
        <f t="shared" ca="1" si="67"/>
        <v>204</v>
      </c>
      <c r="X126" s="177">
        <f t="shared" ca="1" si="49"/>
        <v>15861.976726602566</v>
      </c>
      <c r="Y126" s="12">
        <f t="shared" ca="1" si="50"/>
        <v>7657.3645471153859</v>
      </c>
      <c r="Z126" s="182">
        <f t="shared" ca="1" si="51"/>
        <v>1665536.2724358977</v>
      </c>
      <c r="AA126" s="271">
        <f t="shared" ca="1" si="68"/>
        <v>0.22</v>
      </c>
      <c r="AB126" s="12">
        <f t="shared" ca="1" si="52"/>
        <v>14215.576526237168</v>
      </c>
      <c r="AC126" s="12">
        <f t="shared" ca="1" si="53"/>
        <v>14215.576526237181</v>
      </c>
      <c r="AD126" s="199"/>
      <c r="AE126" s="273">
        <f t="shared" ca="1" si="54"/>
        <v>1.6821425527395739E-3</v>
      </c>
      <c r="AF126" s="184">
        <f t="shared" ca="1" si="55"/>
        <v>0.83374776213014634</v>
      </c>
      <c r="AG126" s="12">
        <f t="shared" ca="1" si="56"/>
        <v>11852.205116140078</v>
      </c>
      <c r="AH126" s="12">
        <f t="shared" ca="1" si="57"/>
        <v>11852.205116140089</v>
      </c>
      <c r="AI126" s="185">
        <f t="shared" ca="1" si="58"/>
        <v>49</v>
      </c>
      <c r="AJ126" s="177">
        <f t="shared" ca="1" si="59"/>
        <v>49</v>
      </c>
      <c r="AK126" s="12">
        <f t="shared" ca="1" si="60"/>
        <v>-15910.976726602559</v>
      </c>
      <c r="AL126" s="185">
        <f t="shared" ca="1" si="69"/>
        <v>15861.976726602559</v>
      </c>
      <c r="AM126" s="177">
        <f t="shared" ca="1" si="70"/>
        <v>15899.512827323713</v>
      </c>
      <c r="AN126" s="177">
        <f t="shared" ca="1" si="71"/>
        <v>12637.828192913674</v>
      </c>
      <c r="AO126" s="196">
        <f t="shared" ca="1" si="72"/>
        <v>204</v>
      </c>
      <c r="AP126" s="196">
        <f t="shared" ca="1" si="73"/>
        <v>144</v>
      </c>
      <c r="AQ126" s="177">
        <f t="shared" ca="1" si="74"/>
        <v>0</v>
      </c>
      <c r="AR126" s="177">
        <f t="shared" ca="1" si="75"/>
        <v>37.536100721154071</v>
      </c>
      <c r="AS126" s="189"/>
      <c r="AT126" s="190"/>
      <c r="AU126" s="190"/>
    </row>
    <row r="127" spans="1:47" x14ac:dyDescent="0.6">
      <c r="A127" s="152" t="str">
        <f t="shared" ca="1" si="41"/>
        <v>Februar 2034</v>
      </c>
      <c r="B127" s="191">
        <v>0</v>
      </c>
      <c r="C127" s="270">
        <f t="shared" ca="1" si="61"/>
        <v>5.4899999999999997E-2</v>
      </c>
      <c r="D127" s="192" t="str">
        <f t="shared" ca="1" si="62"/>
        <v/>
      </c>
      <c r="E127" s="193" t="str">
        <f t="shared" ca="1" si="63"/>
        <v/>
      </c>
      <c r="F127" s="194">
        <f t="shared" ca="1" si="64"/>
        <v>49</v>
      </c>
      <c r="G127" s="14">
        <v>110</v>
      </c>
      <c r="H127" s="157">
        <f t="shared" ca="1" si="65"/>
        <v>203</v>
      </c>
      <c r="I127" s="16">
        <f t="shared" ca="1" si="66"/>
        <v>15824.440625881405</v>
      </c>
      <c r="J127" s="16">
        <f t="shared" ca="1" si="42"/>
        <v>7619.8284463942573</v>
      </c>
      <c r="K127" s="158">
        <f t="shared" ca="1" si="43"/>
        <v>8204.6121794871469</v>
      </c>
      <c r="L127" s="158">
        <f t="shared" ca="1" si="44"/>
        <v>1657331.6602564161</v>
      </c>
      <c r="M127" s="15">
        <f t="shared" ca="1" si="45"/>
        <v>-2.5465851649641991E-11</v>
      </c>
      <c r="N127" s="16">
        <f ca="1">IF(Y127=0, 0, ROUND(SUM(Y$17:Y127)-SUM(J$17:J127),0))</f>
        <v>0</v>
      </c>
      <c r="O127" s="16" t="str">
        <f t="shared" ca="1" si="46"/>
        <v/>
      </c>
      <c r="P127" s="16">
        <f t="shared" ca="1" si="47"/>
        <v>3340000</v>
      </c>
      <c r="Q127" s="160">
        <f t="shared" ca="1" si="77"/>
        <v>5000000</v>
      </c>
      <c r="R127" s="160">
        <f t="shared" ca="1" si="77"/>
        <v>0</v>
      </c>
      <c r="S127" s="160">
        <f t="shared" ca="1" si="77"/>
        <v>358488</v>
      </c>
      <c r="T127" s="160">
        <f t="shared" ca="1" si="77"/>
        <v>628000</v>
      </c>
      <c r="U127" s="161" t="str">
        <f t="shared" ca="1" si="48"/>
        <v/>
      </c>
      <c r="V127" s="162">
        <f t="shared" ca="1" si="40"/>
        <v>3.21</v>
      </c>
      <c r="W127" s="195">
        <f t="shared" ca="1" si="67"/>
        <v>203</v>
      </c>
      <c r="X127" s="158">
        <f t="shared" ca="1" si="49"/>
        <v>15824.440625881412</v>
      </c>
      <c r="Y127" s="16">
        <f t="shared" ca="1" si="50"/>
        <v>7619.8284463942318</v>
      </c>
      <c r="Z127" s="164">
        <f t="shared" ca="1" si="51"/>
        <v>1657331.6602564107</v>
      </c>
      <c r="AA127" s="272">
        <f t="shared" ca="1" si="68"/>
        <v>0.22</v>
      </c>
      <c r="AB127" s="16">
        <f t="shared" ca="1" si="52"/>
        <v>14186.298367674668</v>
      </c>
      <c r="AC127" s="16">
        <f t="shared" ca="1" si="53"/>
        <v>14186.298367674681</v>
      </c>
      <c r="AD127" s="197"/>
      <c r="AE127" s="274">
        <f t="shared" ca="1" si="54"/>
        <v>1.6821425527395739E-3</v>
      </c>
      <c r="AF127" s="166">
        <f t="shared" ca="1" si="55"/>
        <v>0.83234527954121584</v>
      </c>
      <c r="AG127" s="16">
        <f t="shared" ca="1" si="56"/>
        <v>11807.898480497266</v>
      </c>
      <c r="AH127" s="16">
        <f t="shared" ca="1" si="57"/>
        <v>11807.898480497277</v>
      </c>
      <c r="AI127" s="168">
        <f t="shared" ca="1" si="58"/>
        <v>49</v>
      </c>
      <c r="AJ127" s="158">
        <f t="shared" ca="1" si="59"/>
        <v>49</v>
      </c>
      <c r="AK127" s="16">
        <f t="shared" ca="1" si="60"/>
        <v>-15873.440625881405</v>
      </c>
      <c r="AL127" s="168">
        <f t="shared" ca="1" si="69"/>
        <v>15824.440625881405</v>
      </c>
      <c r="AM127" s="158">
        <f t="shared" ca="1" si="70"/>
        <v>15861.976726602559</v>
      </c>
      <c r="AN127" s="158">
        <f t="shared" ca="1" si="71"/>
        <v>12613.41112577499</v>
      </c>
      <c r="AO127" s="169">
        <f t="shared" ca="1" si="72"/>
        <v>203</v>
      </c>
      <c r="AP127" s="169">
        <f t="shared" ca="1" si="73"/>
        <v>144</v>
      </c>
      <c r="AQ127" s="158">
        <f t="shared" ca="1" si="74"/>
        <v>0</v>
      </c>
      <c r="AR127" s="158">
        <f t="shared" ca="1" si="75"/>
        <v>37.536100721154071</v>
      </c>
      <c r="AS127" s="170"/>
      <c r="AT127" s="159"/>
      <c r="AU127" s="159"/>
    </row>
    <row r="128" spans="1:47" x14ac:dyDescent="0.6">
      <c r="A128" s="171" t="str">
        <f t="shared" ca="1" si="41"/>
        <v>Mars 2034</v>
      </c>
      <c r="B128" s="191">
        <v>0</v>
      </c>
      <c r="C128" s="269">
        <f t="shared" ca="1" si="61"/>
        <v>5.4899999999999997E-2</v>
      </c>
      <c r="D128" s="173" t="str">
        <f t="shared" ca="1" si="62"/>
        <v/>
      </c>
      <c r="E128" s="174" t="str">
        <f t="shared" ca="1" si="63"/>
        <v/>
      </c>
      <c r="F128" s="175">
        <f t="shared" ca="1" si="64"/>
        <v>49</v>
      </c>
      <c r="G128" s="10">
        <v>111</v>
      </c>
      <c r="H128" s="176">
        <f t="shared" ca="1" si="65"/>
        <v>202</v>
      </c>
      <c r="I128" s="12">
        <f t="shared" ca="1" si="66"/>
        <v>15786.904525160251</v>
      </c>
      <c r="J128" s="12">
        <f t="shared" ca="1" si="42"/>
        <v>7582.2923456731032</v>
      </c>
      <c r="K128" s="177">
        <f t="shared" ca="1" si="43"/>
        <v>8204.6121794871469</v>
      </c>
      <c r="L128" s="177">
        <f t="shared" ca="1" si="44"/>
        <v>1649127.0480769288</v>
      </c>
      <c r="M128" s="11">
        <f t="shared" ca="1" si="45"/>
        <v>-2.4556356947869062E-11</v>
      </c>
      <c r="N128" s="12">
        <f ca="1">IF(Y128=0, 0, ROUND(SUM(Y$17:Y128)-SUM(J$17:J128),0))</f>
        <v>0</v>
      </c>
      <c r="O128" s="12" t="str">
        <f t="shared" ca="1" si="46"/>
        <v/>
      </c>
      <c r="P128" s="12">
        <f t="shared" ca="1" si="47"/>
        <v>3350000</v>
      </c>
      <c r="Q128" s="178">
        <f t="shared" ca="1" si="77"/>
        <v>5000000</v>
      </c>
      <c r="R128" s="178">
        <f t="shared" ca="1" si="77"/>
        <v>0</v>
      </c>
      <c r="S128" s="178">
        <f t="shared" ca="1" si="77"/>
        <v>358488</v>
      </c>
      <c r="T128" s="178">
        <f t="shared" ca="1" si="77"/>
        <v>628000</v>
      </c>
      <c r="U128" s="179" t="str">
        <f t="shared" ca="1" si="48"/>
        <v/>
      </c>
      <c r="V128" s="180">
        <f t="shared" ca="1" si="40"/>
        <v>3.1999999999999997</v>
      </c>
      <c r="W128" s="181">
        <f t="shared" ca="1" si="67"/>
        <v>202</v>
      </c>
      <c r="X128" s="177">
        <f t="shared" ca="1" si="49"/>
        <v>15786.904525160258</v>
      </c>
      <c r="Y128" s="12">
        <f t="shared" ca="1" si="50"/>
        <v>7582.2923456730787</v>
      </c>
      <c r="Z128" s="182">
        <f t="shared" ca="1" si="51"/>
        <v>1649127.0480769235</v>
      </c>
      <c r="AA128" s="271">
        <f t="shared" ca="1" si="68"/>
        <v>0.22</v>
      </c>
      <c r="AB128" s="12">
        <f t="shared" ca="1" si="52"/>
        <v>14157.020209112168</v>
      </c>
      <c r="AC128" s="12">
        <f t="shared" ca="1" si="53"/>
        <v>14157.020209112181</v>
      </c>
      <c r="AD128" s="199"/>
      <c r="AE128" s="273">
        <f t="shared" ca="1" si="54"/>
        <v>1.6821425527395739E-3</v>
      </c>
      <c r="AF128" s="184">
        <f t="shared" ca="1" si="55"/>
        <v>0.83094515612792763</v>
      </c>
      <c r="AG128" s="12">
        <f t="shared" ca="1" si="56"/>
        <v>11763.707367966937</v>
      </c>
      <c r="AH128" s="12">
        <f t="shared" ca="1" si="57"/>
        <v>11763.707367966948</v>
      </c>
      <c r="AI128" s="185">
        <f t="shared" ca="1" si="58"/>
        <v>49</v>
      </c>
      <c r="AJ128" s="177">
        <f t="shared" ca="1" si="59"/>
        <v>49</v>
      </c>
      <c r="AK128" s="12">
        <f t="shared" ca="1" si="60"/>
        <v>-15835.904525160251</v>
      </c>
      <c r="AL128" s="185">
        <f t="shared" ca="1" si="69"/>
        <v>15786.904525160251</v>
      </c>
      <c r="AM128" s="177">
        <f t="shared" ca="1" si="70"/>
        <v>15824.440625881405</v>
      </c>
      <c r="AN128" s="177">
        <f t="shared" ca="1" si="71"/>
        <v>12589.020283268088</v>
      </c>
      <c r="AO128" s="196">
        <f t="shared" ca="1" si="72"/>
        <v>202</v>
      </c>
      <c r="AP128" s="196">
        <f t="shared" ca="1" si="73"/>
        <v>143</v>
      </c>
      <c r="AQ128" s="177">
        <f t="shared" ca="1" si="74"/>
        <v>0</v>
      </c>
      <c r="AR128" s="177">
        <f t="shared" ca="1" si="75"/>
        <v>37.536100721154071</v>
      </c>
      <c r="AS128" s="189"/>
      <c r="AT128" s="190"/>
      <c r="AU128" s="190"/>
    </row>
    <row r="129" spans="1:47" x14ac:dyDescent="0.6">
      <c r="A129" s="152" t="str">
        <f t="shared" ca="1" si="41"/>
        <v>April 2034</v>
      </c>
      <c r="B129" s="191">
        <v>0</v>
      </c>
      <c r="C129" s="270">
        <f t="shared" ca="1" si="61"/>
        <v>5.4899999999999997E-2</v>
      </c>
      <c r="D129" s="192" t="str">
        <f t="shared" ca="1" si="62"/>
        <v/>
      </c>
      <c r="E129" s="193" t="str">
        <f t="shared" ca="1" si="63"/>
        <v/>
      </c>
      <c r="F129" s="194">
        <f t="shared" ca="1" si="64"/>
        <v>49</v>
      </c>
      <c r="G129" s="14">
        <v>112</v>
      </c>
      <c r="H129" s="157">
        <f t="shared" ca="1" si="65"/>
        <v>201</v>
      </c>
      <c r="I129" s="16">
        <f t="shared" ca="1" si="66"/>
        <v>15749.368424439097</v>
      </c>
      <c r="J129" s="16">
        <f t="shared" ca="1" si="42"/>
        <v>7544.7562449519492</v>
      </c>
      <c r="K129" s="158">
        <f t="shared" ca="1" si="43"/>
        <v>8204.6121794871469</v>
      </c>
      <c r="L129" s="158">
        <f t="shared" ca="1" si="44"/>
        <v>1640922.4358974416</v>
      </c>
      <c r="M129" s="15">
        <f t="shared" ca="1" si="45"/>
        <v>-2.4556356947869062E-11</v>
      </c>
      <c r="N129" s="16">
        <f ca="1">IF(Y129=0, 0, ROUND(SUM(Y$17:Y129)-SUM(J$17:J129),0))</f>
        <v>0</v>
      </c>
      <c r="O129" s="16" t="str">
        <f t="shared" ca="1" si="46"/>
        <v/>
      </c>
      <c r="P129" s="16" t="str">
        <f t="shared" ca="1" si="47"/>
        <v/>
      </c>
      <c r="Q129" s="160">
        <f t="shared" ca="1" si="77"/>
        <v>5000000</v>
      </c>
      <c r="R129" s="160">
        <f t="shared" ca="1" si="77"/>
        <v>0</v>
      </c>
      <c r="S129" s="160">
        <f t="shared" ca="1" si="77"/>
        <v>358488</v>
      </c>
      <c r="T129" s="160">
        <f t="shared" ca="1" si="77"/>
        <v>628000</v>
      </c>
      <c r="U129" s="161" t="str">
        <f t="shared" ca="1" si="48"/>
        <v/>
      </c>
      <c r="V129" s="162">
        <f t="shared" ca="1" si="40"/>
        <v>3.19</v>
      </c>
      <c r="W129" s="195">
        <f t="shared" ca="1" si="67"/>
        <v>201</v>
      </c>
      <c r="X129" s="158">
        <f t="shared" ca="1" si="49"/>
        <v>15749.368424439104</v>
      </c>
      <c r="Y129" s="16">
        <f t="shared" ca="1" si="50"/>
        <v>7544.7562449519246</v>
      </c>
      <c r="Z129" s="164">
        <f t="shared" ca="1" si="51"/>
        <v>1640922.4358974362</v>
      </c>
      <c r="AA129" s="272">
        <f t="shared" ca="1" si="68"/>
        <v>0.22</v>
      </c>
      <c r="AB129" s="16">
        <f t="shared" ca="1" si="52"/>
        <v>14127.742050549667</v>
      </c>
      <c r="AC129" s="16">
        <f t="shared" ca="1" si="53"/>
        <v>14127.742050549681</v>
      </c>
      <c r="AD129" s="197"/>
      <c r="AE129" s="274">
        <f t="shared" ca="1" si="54"/>
        <v>1.6821425527395739E-3</v>
      </c>
      <c r="AF129" s="166">
        <f t="shared" ca="1" si="55"/>
        <v>0.82954738792181204</v>
      </c>
      <c r="AG129" s="16">
        <f t="shared" ca="1" si="56"/>
        <v>11719.631515266621</v>
      </c>
      <c r="AH129" s="16">
        <f t="shared" ca="1" si="57"/>
        <v>11719.631515266632</v>
      </c>
      <c r="AI129" s="168">
        <f t="shared" ca="1" si="58"/>
        <v>49</v>
      </c>
      <c r="AJ129" s="158">
        <f t="shared" ca="1" si="59"/>
        <v>49</v>
      </c>
      <c r="AK129" s="16">
        <f t="shared" ca="1" si="60"/>
        <v>-15798.368424439097</v>
      </c>
      <c r="AL129" s="168">
        <f t="shared" ca="1" si="69"/>
        <v>15749.368424439097</v>
      </c>
      <c r="AM129" s="158">
        <f t="shared" ca="1" si="70"/>
        <v>15786.904525160251</v>
      </c>
      <c r="AN129" s="158">
        <f t="shared" ca="1" si="71"/>
        <v>12564.655687178489</v>
      </c>
      <c r="AO129" s="169">
        <f t="shared" ca="1" si="72"/>
        <v>201</v>
      </c>
      <c r="AP129" s="169">
        <f t="shared" ca="1" si="73"/>
        <v>143</v>
      </c>
      <c r="AQ129" s="158">
        <f t="shared" ca="1" si="74"/>
        <v>0</v>
      </c>
      <c r="AR129" s="158">
        <f t="shared" ca="1" si="75"/>
        <v>37.536100721154071</v>
      </c>
      <c r="AS129" s="170"/>
      <c r="AT129" s="159"/>
      <c r="AU129" s="159"/>
    </row>
    <row r="130" spans="1:47" x14ac:dyDescent="0.6">
      <c r="A130" s="171" t="str">
        <f t="shared" ca="1" si="41"/>
        <v>Mai 2034</v>
      </c>
      <c r="B130" s="191">
        <v>0</v>
      </c>
      <c r="C130" s="269">
        <f t="shared" ca="1" si="61"/>
        <v>5.4899999999999997E-2</v>
      </c>
      <c r="D130" s="173" t="str">
        <f t="shared" ca="1" si="62"/>
        <v/>
      </c>
      <c r="E130" s="174" t="str">
        <f t="shared" ca="1" si="63"/>
        <v/>
      </c>
      <c r="F130" s="175">
        <f t="shared" ca="1" si="64"/>
        <v>49</v>
      </c>
      <c r="G130" s="10">
        <v>113</v>
      </c>
      <c r="H130" s="176">
        <f t="shared" ca="1" si="65"/>
        <v>200</v>
      </c>
      <c r="I130" s="12">
        <f t="shared" ca="1" si="66"/>
        <v>15711.832323717943</v>
      </c>
      <c r="J130" s="12">
        <f t="shared" ca="1" si="42"/>
        <v>7507.2201442307951</v>
      </c>
      <c r="K130" s="177">
        <f t="shared" ca="1" si="43"/>
        <v>8204.6121794871469</v>
      </c>
      <c r="L130" s="177">
        <f t="shared" ca="1" si="44"/>
        <v>1632717.8237179543</v>
      </c>
      <c r="M130" s="11">
        <f t="shared" ca="1" si="45"/>
        <v>-2.4556356947869062E-11</v>
      </c>
      <c r="N130" s="12">
        <f ca="1">IF(Y130=0, 0, ROUND(SUM(Y$17:Y130)-SUM(J$17:J130),0))</f>
        <v>0</v>
      </c>
      <c r="O130" s="12" t="str">
        <f t="shared" ca="1" si="46"/>
        <v/>
      </c>
      <c r="P130" s="12">
        <f t="shared" ca="1" si="47"/>
        <v>3360000</v>
      </c>
      <c r="Q130" s="178">
        <f t="shared" ca="1" si="77"/>
        <v>5000000</v>
      </c>
      <c r="R130" s="178">
        <f t="shared" ca="1" si="77"/>
        <v>0</v>
      </c>
      <c r="S130" s="178">
        <f t="shared" ca="1" si="77"/>
        <v>358488</v>
      </c>
      <c r="T130" s="178">
        <f t="shared" ca="1" si="77"/>
        <v>628000</v>
      </c>
      <c r="U130" s="179" t="str">
        <f t="shared" ca="1" si="48"/>
        <v/>
      </c>
      <c r="V130" s="180">
        <f t="shared" ca="1" si="40"/>
        <v>3.1799999999999997</v>
      </c>
      <c r="W130" s="181">
        <f t="shared" ca="1" si="67"/>
        <v>200</v>
      </c>
      <c r="X130" s="177">
        <f t="shared" ca="1" si="49"/>
        <v>15711.83232371795</v>
      </c>
      <c r="Y130" s="12">
        <f t="shared" ca="1" si="50"/>
        <v>7507.2201442307705</v>
      </c>
      <c r="Z130" s="182">
        <f t="shared" ca="1" si="51"/>
        <v>1632717.8237179492</v>
      </c>
      <c r="AA130" s="271">
        <f t="shared" ca="1" si="68"/>
        <v>0.22</v>
      </c>
      <c r="AB130" s="12">
        <f t="shared" ca="1" si="52"/>
        <v>14098.463891987169</v>
      </c>
      <c r="AC130" s="12">
        <f t="shared" ca="1" si="53"/>
        <v>14098.463891987181</v>
      </c>
      <c r="AD130" s="199"/>
      <c r="AE130" s="273">
        <f t="shared" ca="1" si="54"/>
        <v>1.6821425527395739E-3</v>
      </c>
      <c r="AF130" s="184">
        <f t="shared" ca="1" si="55"/>
        <v>0.82815197096107485</v>
      </c>
      <c r="AG130" s="12">
        <f t="shared" ca="1" si="56"/>
        <v>11675.67065967272</v>
      </c>
      <c r="AH130" s="12">
        <f t="shared" ca="1" si="57"/>
        <v>11675.670659672731</v>
      </c>
      <c r="AI130" s="185">
        <f t="shared" ca="1" si="58"/>
        <v>49</v>
      </c>
      <c r="AJ130" s="177">
        <f t="shared" ca="1" si="59"/>
        <v>49</v>
      </c>
      <c r="AK130" s="12">
        <f t="shared" ca="1" si="60"/>
        <v>-15760.832323717943</v>
      </c>
      <c r="AL130" s="185">
        <f t="shared" ca="1" si="69"/>
        <v>15711.832323717943</v>
      </c>
      <c r="AM130" s="177">
        <f t="shared" ca="1" si="70"/>
        <v>15749.368424439097</v>
      </c>
      <c r="AN130" s="177">
        <f t="shared" ca="1" si="71"/>
        <v>12540.317359205472</v>
      </c>
      <c r="AO130" s="196">
        <f t="shared" ca="1" si="72"/>
        <v>200</v>
      </c>
      <c r="AP130" s="196">
        <f t="shared" ca="1" si="73"/>
        <v>142</v>
      </c>
      <c r="AQ130" s="177">
        <f t="shared" ca="1" si="74"/>
        <v>0</v>
      </c>
      <c r="AR130" s="177">
        <f t="shared" ca="1" si="75"/>
        <v>37.536100721154071</v>
      </c>
      <c r="AS130" s="189"/>
      <c r="AT130" s="190"/>
      <c r="AU130" s="190"/>
    </row>
    <row r="131" spans="1:47" x14ac:dyDescent="0.6">
      <c r="A131" s="152" t="str">
        <f t="shared" ca="1" si="41"/>
        <v>Juni 2034</v>
      </c>
      <c r="B131" s="191">
        <v>0</v>
      </c>
      <c r="C131" s="270">
        <f t="shared" ca="1" si="61"/>
        <v>5.4899999999999997E-2</v>
      </c>
      <c r="D131" s="192" t="str">
        <f t="shared" ca="1" si="62"/>
        <v/>
      </c>
      <c r="E131" s="193" t="str">
        <f t="shared" ca="1" si="63"/>
        <v/>
      </c>
      <c r="F131" s="194">
        <f t="shared" ca="1" si="64"/>
        <v>49</v>
      </c>
      <c r="G131" s="14">
        <v>114</v>
      </c>
      <c r="H131" s="157">
        <f t="shared" ca="1" si="65"/>
        <v>199</v>
      </c>
      <c r="I131" s="16">
        <f t="shared" ca="1" si="66"/>
        <v>15674.296222996789</v>
      </c>
      <c r="J131" s="16">
        <f t="shared" ca="1" si="42"/>
        <v>7469.684043509641</v>
      </c>
      <c r="K131" s="158">
        <f t="shared" ca="1" si="43"/>
        <v>8204.6121794871469</v>
      </c>
      <c r="L131" s="158">
        <f t="shared" ca="1" si="44"/>
        <v>1624513.2115384671</v>
      </c>
      <c r="M131" s="15">
        <f t="shared" ca="1" si="45"/>
        <v>-2.3646862246096134E-11</v>
      </c>
      <c r="N131" s="16">
        <f ca="1">IF(Y131=0, 0, ROUND(SUM(Y$17:Y131)-SUM(J$17:J131),0))</f>
        <v>0</v>
      </c>
      <c r="O131" s="16" t="str">
        <f t="shared" ca="1" si="46"/>
        <v/>
      </c>
      <c r="P131" s="16">
        <f t="shared" ca="1" si="47"/>
        <v>3370000</v>
      </c>
      <c r="Q131" s="160">
        <f t="shared" ca="1" si="77"/>
        <v>5000000</v>
      </c>
      <c r="R131" s="160">
        <f t="shared" ca="1" si="77"/>
        <v>0</v>
      </c>
      <c r="S131" s="160">
        <f t="shared" ca="1" si="77"/>
        <v>358488</v>
      </c>
      <c r="T131" s="160">
        <f t="shared" ca="1" si="77"/>
        <v>628000</v>
      </c>
      <c r="U131" s="161" t="str">
        <f t="shared" ca="1" si="48"/>
        <v/>
      </c>
      <c r="V131" s="162">
        <f t="shared" ca="1" si="40"/>
        <v>3.1599999999999997</v>
      </c>
      <c r="W131" s="195">
        <f t="shared" ca="1" si="67"/>
        <v>199</v>
      </c>
      <c r="X131" s="158">
        <f t="shared" ca="1" si="49"/>
        <v>15674.296222996796</v>
      </c>
      <c r="Y131" s="16">
        <f t="shared" ca="1" si="50"/>
        <v>7469.6840435096174</v>
      </c>
      <c r="Z131" s="164">
        <f t="shared" ca="1" si="51"/>
        <v>1624513.211538462</v>
      </c>
      <c r="AA131" s="272">
        <f t="shared" ca="1" si="68"/>
        <v>0.22</v>
      </c>
      <c r="AB131" s="16">
        <f t="shared" ca="1" si="52"/>
        <v>14069.185733424667</v>
      </c>
      <c r="AC131" s="16">
        <f t="shared" ca="1" si="53"/>
        <v>14069.185733424682</v>
      </c>
      <c r="AD131" s="197"/>
      <c r="AE131" s="274">
        <f t="shared" ca="1" si="54"/>
        <v>1.6821425527395739E-3</v>
      </c>
      <c r="AF131" s="166">
        <f t="shared" ca="1" si="55"/>
        <v>0.82675890129058605</v>
      </c>
      <c r="AG131" s="16">
        <f t="shared" ca="1" si="56"/>
        <v>11631.824539019366</v>
      </c>
      <c r="AH131" s="16">
        <f t="shared" ca="1" si="57"/>
        <v>11631.824539019377</v>
      </c>
      <c r="AI131" s="168">
        <f t="shared" ca="1" si="58"/>
        <v>49</v>
      </c>
      <c r="AJ131" s="158">
        <f t="shared" ca="1" si="59"/>
        <v>49</v>
      </c>
      <c r="AK131" s="16">
        <f t="shared" ca="1" si="60"/>
        <v>-15723.296222996789</v>
      </c>
      <c r="AL131" s="168">
        <f t="shared" ca="1" si="69"/>
        <v>15674.296222996789</v>
      </c>
      <c r="AM131" s="158">
        <f t="shared" ca="1" si="70"/>
        <v>15711.832323717943</v>
      </c>
      <c r="AN131" s="158">
        <f t="shared" ca="1" si="71"/>
        <v>12516.005320961804</v>
      </c>
      <c r="AO131" s="169">
        <f t="shared" ca="1" si="72"/>
        <v>199</v>
      </c>
      <c r="AP131" s="169">
        <f t="shared" ca="1" si="73"/>
        <v>142</v>
      </c>
      <c r="AQ131" s="158">
        <f t="shared" ca="1" si="74"/>
        <v>0</v>
      </c>
      <c r="AR131" s="158">
        <f t="shared" ca="1" si="75"/>
        <v>37.536100721154071</v>
      </c>
      <c r="AS131" s="170"/>
      <c r="AT131" s="159"/>
      <c r="AU131" s="159"/>
    </row>
    <row r="132" spans="1:47" x14ac:dyDescent="0.6">
      <c r="A132" s="171" t="str">
        <f t="shared" ca="1" si="41"/>
        <v>Juli 2034</v>
      </c>
      <c r="B132" s="191">
        <v>0</v>
      </c>
      <c r="C132" s="269">
        <f t="shared" ca="1" si="61"/>
        <v>5.4899999999999997E-2</v>
      </c>
      <c r="D132" s="173" t="str">
        <f t="shared" ca="1" si="62"/>
        <v/>
      </c>
      <c r="E132" s="174" t="str">
        <f t="shared" ca="1" si="63"/>
        <v/>
      </c>
      <c r="F132" s="175">
        <f t="shared" ca="1" si="64"/>
        <v>49</v>
      </c>
      <c r="G132" s="10">
        <v>115</v>
      </c>
      <c r="H132" s="176">
        <f t="shared" ca="1" si="65"/>
        <v>198</v>
      </c>
      <c r="I132" s="12">
        <f t="shared" ca="1" si="66"/>
        <v>15636.760122275635</v>
      </c>
      <c r="J132" s="12">
        <f t="shared" ca="1" si="42"/>
        <v>7432.1479427884869</v>
      </c>
      <c r="K132" s="177">
        <f t="shared" ca="1" si="43"/>
        <v>8204.6121794871469</v>
      </c>
      <c r="L132" s="177">
        <f t="shared" ca="1" si="44"/>
        <v>1616308.5993589798</v>
      </c>
      <c r="M132" s="11">
        <f t="shared" ca="1" si="45"/>
        <v>-2.3646862246096134E-11</v>
      </c>
      <c r="N132" s="12">
        <f ca="1">IF(Y132=0, 0, ROUND(SUM(Y$17:Y132)-SUM(J$17:J132),0))</f>
        <v>0</v>
      </c>
      <c r="O132" s="12" t="str">
        <f t="shared" ca="1" si="46"/>
        <v/>
      </c>
      <c r="P132" s="12">
        <f t="shared" ca="1" si="47"/>
        <v>3380000</v>
      </c>
      <c r="Q132" s="178">
        <f t="shared" ca="1" si="77"/>
        <v>5000000</v>
      </c>
      <c r="R132" s="178">
        <f t="shared" ca="1" si="77"/>
        <v>0</v>
      </c>
      <c r="S132" s="178">
        <f t="shared" ca="1" si="77"/>
        <v>358488</v>
      </c>
      <c r="T132" s="178">
        <f t="shared" ca="1" si="77"/>
        <v>628000</v>
      </c>
      <c r="U132" s="179" t="str">
        <f t="shared" ca="1" si="48"/>
        <v/>
      </c>
      <c r="V132" s="180">
        <f t="shared" ca="1" si="40"/>
        <v>3.15</v>
      </c>
      <c r="W132" s="181">
        <f t="shared" ca="1" si="67"/>
        <v>198</v>
      </c>
      <c r="X132" s="177">
        <f t="shared" ca="1" si="49"/>
        <v>15636.760122275642</v>
      </c>
      <c r="Y132" s="12">
        <f t="shared" ca="1" si="50"/>
        <v>7432.1479427884633</v>
      </c>
      <c r="Z132" s="182">
        <f t="shared" ca="1" si="51"/>
        <v>1616308.5993589747</v>
      </c>
      <c r="AA132" s="271">
        <f t="shared" ca="1" si="68"/>
        <v>0.22</v>
      </c>
      <c r="AB132" s="12">
        <f t="shared" ca="1" si="52"/>
        <v>14039.907574862167</v>
      </c>
      <c r="AC132" s="12">
        <f t="shared" ca="1" si="53"/>
        <v>14039.90757486218</v>
      </c>
      <c r="AD132" s="199"/>
      <c r="AE132" s="273">
        <f t="shared" ca="1" si="54"/>
        <v>1.6821425527395739E-3</v>
      </c>
      <c r="AF132" s="184">
        <f t="shared" ca="1" si="55"/>
        <v>0.82536817496186898</v>
      </c>
      <c r="AG132" s="12">
        <f t="shared" ca="1" si="56"/>
        <v>11588.092891697306</v>
      </c>
      <c r="AH132" s="12">
        <f t="shared" ca="1" si="57"/>
        <v>11588.092891697317</v>
      </c>
      <c r="AI132" s="185">
        <f t="shared" ca="1" si="58"/>
        <v>49</v>
      </c>
      <c r="AJ132" s="177">
        <f t="shared" ca="1" si="59"/>
        <v>49</v>
      </c>
      <c r="AK132" s="12">
        <f t="shared" ca="1" si="60"/>
        <v>-15685.760122275635</v>
      </c>
      <c r="AL132" s="185">
        <f t="shared" ca="1" si="69"/>
        <v>15636.760122275635</v>
      </c>
      <c r="AM132" s="177">
        <f t="shared" ca="1" si="70"/>
        <v>15674.296222996789</v>
      </c>
      <c r="AN132" s="177">
        <f t="shared" ca="1" si="71"/>
        <v>12491.719593973434</v>
      </c>
      <c r="AO132" s="196">
        <f t="shared" ca="1" si="72"/>
        <v>198</v>
      </c>
      <c r="AP132" s="196">
        <f t="shared" ca="1" si="73"/>
        <v>141</v>
      </c>
      <c r="AQ132" s="177">
        <f t="shared" ca="1" si="74"/>
        <v>0</v>
      </c>
      <c r="AR132" s="177">
        <f t="shared" ca="1" si="75"/>
        <v>37.536100721154071</v>
      </c>
      <c r="AS132" s="189"/>
      <c r="AT132" s="190"/>
      <c r="AU132" s="190"/>
    </row>
    <row r="133" spans="1:47" x14ac:dyDescent="0.6">
      <c r="A133" s="152" t="str">
        <f t="shared" ca="1" si="41"/>
        <v>August 2034</v>
      </c>
      <c r="B133" s="191">
        <v>0</v>
      </c>
      <c r="C133" s="270">
        <f t="shared" ca="1" si="61"/>
        <v>5.4899999999999997E-2</v>
      </c>
      <c r="D133" s="192" t="str">
        <f t="shared" ca="1" si="62"/>
        <v/>
      </c>
      <c r="E133" s="193" t="str">
        <f t="shared" ca="1" si="63"/>
        <v/>
      </c>
      <c r="F133" s="194">
        <f t="shared" ca="1" si="64"/>
        <v>49</v>
      </c>
      <c r="G133" s="14">
        <v>116</v>
      </c>
      <c r="H133" s="157">
        <f t="shared" ca="1" si="65"/>
        <v>197</v>
      </c>
      <c r="I133" s="16">
        <f t="shared" ca="1" si="66"/>
        <v>15599.224021554481</v>
      </c>
      <c r="J133" s="16">
        <f t="shared" ca="1" si="42"/>
        <v>7394.6118420673329</v>
      </c>
      <c r="K133" s="158">
        <f t="shared" ca="1" si="43"/>
        <v>8204.6121794871469</v>
      </c>
      <c r="L133" s="158">
        <f t="shared" ca="1" si="44"/>
        <v>1608103.9871794926</v>
      </c>
      <c r="M133" s="15">
        <f t="shared" ca="1" si="45"/>
        <v>-2.3646862246096134E-11</v>
      </c>
      <c r="N133" s="16">
        <f ca="1">IF(Y133=0, 0, ROUND(SUM(Y$17:Y133)-SUM(J$17:J133),0))</f>
        <v>0</v>
      </c>
      <c r="O133" s="16" t="str">
        <f t="shared" ca="1" si="46"/>
        <v/>
      </c>
      <c r="P133" s="16">
        <f t="shared" ca="1" si="47"/>
        <v>3390000</v>
      </c>
      <c r="Q133" s="160">
        <f t="shared" ca="1" si="77"/>
        <v>5000000</v>
      </c>
      <c r="R133" s="160">
        <f t="shared" ca="1" si="77"/>
        <v>0</v>
      </c>
      <c r="S133" s="160">
        <f t="shared" ca="1" si="77"/>
        <v>358488</v>
      </c>
      <c r="T133" s="160">
        <f t="shared" ca="1" si="77"/>
        <v>628000</v>
      </c>
      <c r="U133" s="161" t="str">
        <f t="shared" ca="1" si="48"/>
        <v/>
      </c>
      <c r="V133" s="162">
        <f t="shared" ca="1" si="40"/>
        <v>3.1399999999999997</v>
      </c>
      <c r="W133" s="195">
        <f t="shared" ca="1" si="67"/>
        <v>197</v>
      </c>
      <c r="X133" s="158">
        <f t="shared" ca="1" si="49"/>
        <v>15599.224021554488</v>
      </c>
      <c r="Y133" s="16">
        <f t="shared" ca="1" si="50"/>
        <v>7394.6118420673092</v>
      </c>
      <c r="Z133" s="164">
        <f t="shared" ca="1" si="51"/>
        <v>1608103.9871794875</v>
      </c>
      <c r="AA133" s="272">
        <f t="shared" ca="1" si="68"/>
        <v>0.22</v>
      </c>
      <c r="AB133" s="16">
        <f t="shared" ca="1" si="52"/>
        <v>14010.629416299667</v>
      </c>
      <c r="AC133" s="16">
        <f t="shared" ca="1" si="53"/>
        <v>14010.629416299682</v>
      </c>
      <c r="AD133" s="197"/>
      <c r="AE133" s="274">
        <f t="shared" ca="1" si="54"/>
        <v>1.6821425527395739E-3</v>
      </c>
      <c r="AF133" s="166">
        <f t="shared" ca="1" si="55"/>
        <v>0.82397978803308858</v>
      </c>
      <c r="AG133" s="16">
        <f t="shared" ca="1" si="56"/>
        <v>11544.475456652755</v>
      </c>
      <c r="AH133" s="16">
        <f t="shared" ca="1" si="57"/>
        <v>11544.475456652768</v>
      </c>
      <c r="AI133" s="168">
        <f t="shared" ca="1" si="58"/>
        <v>49</v>
      </c>
      <c r="AJ133" s="158">
        <f t="shared" ca="1" si="59"/>
        <v>49</v>
      </c>
      <c r="AK133" s="16">
        <f t="shared" ca="1" si="60"/>
        <v>-15648.224021554481</v>
      </c>
      <c r="AL133" s="168">
        <f t="shared" ca="1" si="69"/>
        <v>15599.224021554481</v>
      </c>
      <c r="AM133" s="158">
        <f t="shared" ca="1" si="70"/>
        <v>15636.760122275635</v>
      </c>
      <c r="AN133" s="158">
        <f t="shared" ca="1" si="71"/>
        <v>12467.460199679215</v>
      </c>
      <c r="AO133" s="169">
        <f t="shared" ca="1" si="72"/>
        <v>197</v>
      </c>
      <c r="AP133" s="169">
        <f t="shared" ca="1" si="73"/>
        <v>141</v>
      </c>
      <c r="AQ133" s="158">
        <f t="shared" ca="1" si="74"/>
        <v>0</v>
      </c>
      <c r="AR133" s="158">
        <f t="shared" ca="1" si="75"/>
        <v>37.536100721154071</v>
      </c>
      <c r="AS133" s="170"/>
      <c r="AT133" s="159"/>
      <c r="AU133" s="159"/>
    </row>
    <row r="134" spans="1:47" x14ac:dyDescent="0.6">
      <c r="A134" s="171" t="str">
        <f t="shared" ca="1" si="41"/>
        <v>September 2034</v>
      </c>
      <c r="B134" s="191">
        <v>0</v>
      </c>
      <c r="C134" s="269">
        <f t="shared" ca="1" si="61"/>
        <v>5.4899999999999997E-2</v>
      </c>
      <c r="D134" s="173" t="str">
        <f t="shared" ca="1" si="62"/>
        <v/>
      </c>
      <c r="E134" s="174" t="str">
        <f t="shared" ca="1" si="63"/>
        <v/>
      </c>
      <c r="F134" s="175">
        <f t="shared" ca="1" si="64"/>
        <v>49</v>
      </c>
      <c r="G134" s="10">
        <v>117</v>
      </c>
      <c r="H134" s="176">
        <f t="shared" ca="1" si="65"/>
        <v>196</v>
      </c>
      <c r="I134" s="12">
        <f t="shared" ca="1" si="66"/>
        <v>15561.687920833327</v>
      </c>
      <c r="J134" s="12">
        <f t="shared" ca="1" si="42"/>
        <v>7357.0757413461788</v>
      </c>
      <c r="K134" s="177">
        <f t="shared" ca="1" si="43"/>
        <v>8204.6121794871469</v>
      </c>
      <c r="L134" s="177">
        <f t="shared" ca="1" si="44"/>
        <v>1599899.3750000054</v>
      </c>
      <c r="M134" s="11">
        <f t="shared" ca="1" si="45"/>
        <v>-2.3646862246096134E-11</v>
      </c>
      <c r="N134" s="12">
        <f ca="1">IF(Y134=0, 0, ROUND(SUM(Y$17:Y134)-SUM(J$17:J134),0))</f>
        <v>0</v>
      </c>
      <c r="O134" s="12" t="str">
        <f t="shared" ca="1" si="46"/>
        <v/>
      </c>
      <c r="P134" s="12">
        <f t="shared" ca="1" si="47"/>
        <v>3400000</v>
      </c>
      <c r="Q134" s="178">
        <f t="shared" ca="1" si="77"/>
        <v>5000000</v>
      </c>
      <c r="R134" s="178">
        <f t="shared" ca="1" si="77"/>
        <v>0</v>
      </c>
      <c r="S134" s="178">
        <f t="shared" ca="1" si="77"/>
        <v>358488</v>
      </c>
      <c r="T134" s="178">
        <f t="shared" ca="1" si="77"/>
        <v>628000</v>
      </c>
      <c r="U134" s="179" t="str">
        <f t="shared" ca="1" si="48"/>
        <v/>
      </c>
      <c r="V134" s="180">
        <f t="shared" ca="1" si="40"/>
        <v>3.1199999999999997</v>
      </c>
      <c r="W134" s="181">
        <f t="shared" ca="1" si="67"/>
        <v>196</v>
      </c>
      <c r="X134" s="177">
        <f t="shared" ca="1" si="49"/>
        <v>15561.687920833334</v>
      </c>
      <c r="Y134" s="12">
        <f t="shared" ca="1" si="50"/>
        <v>7357.0757413461552</v>
      </c>
      <c r="Z134" s="182">
        <f t="shared" ca="1" si="51"/>
        <v>1599899.3750000005</v>
      </c>
      <c r="AA134" s="271">
        <f t="shared" ca="1" si="68"/>
        <v>0.22</v>
      </c>
      <c r="AB134" s="12">
        <f t="shared" ca="1" si="52"/>
        <v>13981.351257737166</v>
      </c>
      <c r="AC134" s="12">
        <f t="shared" ca="1" si="53"/>
        <v>13981.35125773718</v>
      </c>
      <c r="AD134" s="199"/>
      <c r="AE134" s="273">
        <f t="shared" ca="1" si="54"/>
        <v>1.6821425527395739E-3</v>
      </c>
      <c r="AF134" s="184">
        <f t="shared" ca="1" si="55"/>
        <v>0.82259373656904078</v>
      </c>
      <c r="AG134" s="12">
        <f t="shared" ca="1" si="56"/>
        <v>11500.971973386273</v>
      </c>
      <c r="AH134" s="12">
        <f t="shared" ca="1" si="57"/>
        <v>11500.971973386286</v>
      </c>
      <c r="AI134" s="185">
        <f t="shared" ca="1" si="58"/>
        <v>49</v>
      </c>
      <c r="AJ134" s="177">
        <f t="shared" ca="1" si="59"/>
        <v>49</v>
      </c>
      <c r="AK134" s="12">
        <f t="shared" ca="1" si="60"/>
        <v>-15610.687920833327</v>
      </c>
      <c r="AL134" s="185">
        <f t="shared" ca="1" si="69"/>
        <v>15561.687920833327</v>
      </c>
      <c r="AM134" s="177">
        <f t="shared" ca="1" si="70"/>
        <v>15599.224021554481</v>
      </c>
      <c r="AN134" s="177">
        <f t="shared" ca="1" si="71"/>
        <v>12443.2271594306</v>
      </c>
      <c r="AO134" s="196">
        <f t="shared" ca="1" si="72"/>
        <v>196</v>
      </c>
      <c r="AP134" s="196">
        <f t="shared" ca="1" si="73"/>
        <v>140</v>
      </c>
      <c r="AQ134" s="177">
        <f t="shared" ca="1" si="74"/>
        <v>0</v>
      </c>
      <c r="AR134" s="177">
        <f t="shared" ca="1" si="75"/>
        <v>37.536100721154071</v>
      </c>
      <c r="AS134" s="189"/>
      <c r="AT134" s="190"/>
      <c r="AU134" s="190"/>
    </row>
    <row r="135" spans="1:47" x14ac:dyDescent="0.6">
      <c r="A135" s="152" t="str">
        <f t="shared" ca="1" si="41"/>
        <v>Oktober 2034</v>
      </c>
      <c r="B135" s="191">
        <v>0</v>
      </c>
      <c r="C135" s="270">
        <f t="shared" ca="1" si="61"/>
        <v>5.4899999999999997E-2</v>
      </c>
      <c r="D135" s="192" t="str">
        <f t="shared" ca="1" si="62"/>
        <v/>
      </c>
      <c r="E135" s="193" t="str">
        <f t="shared" ca="1" si="63"/>
        <v/>
      </c>
      <c r="F135" s="194">
        <f t="shared" ca="1" si="64"/>
        <v>49</v>
      </c>
      <c r="G135" s="14">
        <v>118</v>
      </c>
      <c r="H135" s="157">
        <f t="shared" ca="1" si="65"/>
        <v>195</v>
      </c>
      <c r="I135" s="16">
        <f t="shared" ca="1" si="66"/>
        <v>15524.151820112173</v>
      </c>
      <c r="J135" s="16">
        <f t="shared" ca="1" si="42"/>
        <v>7319.5396406250247</v>
      </c>
      <c r="K135" s="158">
        <f t="shared" ca="1" si="43"/>
        <v>8204.6121794871469</v>
      </c>
      <c r="L135" s="158">
        <f t="shared" ca="1" si="44"/>
        <v>1591694.7628205181</v>
      </c>
      <c r="M135" s="15">
        <f t="shared" ca="1" si="45"/>
        <v>-2.3646862246096134E-11</v>
      </c>
      <c r="N135" s="16">
        <f ca="1">IF(Y135=0, 0, ROUND(SUM(Y$17:Y135)-SUM(J$17:J135),0))</f>
        <v>0</v>
      </c>
      <c r="O135" s="16" t="str">
        <f t="shared" ca="1" si="46"/>
        <v/>
      </c>
      <c r="P135" s="16" t="str">
        <f t="shared" ca="1" si="47"/>
        <v/>
      </c>
      <c r="Q135" s="160">
        <f t="shared" ca="1" si="77"/>
        <v>5000000</v>
      </c>
      <c r="R135" s="160">
        <f t="shared" ca="1" si="77"/>
        <v>0</v>
      </c>
      <c r="S135" s="160">
        <f t="shared" ca="1" si="77"/>
        <v>358488</v>
      </c>
      <c r="T135" s="160">
        <f t="shared" ca="1" si="77"/>
        <v>628000</v>
      </c>
      <c r="U135" s="161" t="str">
        <f t="shared" ca="1" si="48"/>
        <v/>
      </c>
      <c r="V135" s="162">
        <f t="shared" ca="1" si="40"/>
        <v>3.11</v>
      </c>
      <c r="W135" s="195">
        <f t="shared" ca="1" si="67"/>
        <v>195</v>
      </c>
      <c r="X135" s="158">
        <f t="shared" ca="1" si="49"/>
        <v>15524.15182011218</v>
      </c>
      <c r="Y135" s="16">
        <f t="shared" ca="1" si="50"/>
        <v>7319.5396406250011</v>
      </c>
      <c r="Z135" s="164">
        <f t="shared" ca="1" si="51"/>
        <v>1591694.7628205132</v>
      </c>
      <c r="AA135" s="272">
        <f t="shared" ca="1" si="68"/>
        <v>0.22</v>
      </c>
      <c r="AB135" s="16">
        <f t="shared" ca="1" si="52"/>
        <v>13952.073099174668</v>
      </c>
      <c r="AC135" s="16">
        <f t="shared" ca="1" si="53"/>
        <v>13952.07309917468</v>
      </c>
      <c r="AD135" s="197"/>
      <c r="AE135" s="274">
        <f t="shared" ca="1" si="54"/>
        <v>1.6821425527395739E-3</v>
      </c>
      <c r="AF135" s="166">
        <f t="shared" ca="1" si="55"/>
        <v>0.82121001664114091</v>
      </c>
      <c r="AG135" s="16">
        <f t="shared" ca="1" si="56"/>
        <v>11457.582181951644</v>
      </c>
      <c r="AH135" s="16">
        <f t="shared" ca="1" si="57"/>
        <v>11457.582181951653</v>
      </c>
      <c r="AI135" s="168">
        <f t="shared" ca="1" si="58"/>
        <v>49</v>
      </c>
      <c r="AJ135" s="158">
        <f t="shared" ca="1" si="59"/>
        <v>49</v>
      </c>
      <c r="AK135" s="16">
        <f t="shared" ca="1" si="60"/>
        <v>-15573.151820112173</v>
      </c>
      <c r="AL135" s="168">
        <f t="shared" ca="1" si="69"/>
        <v>15524.151820112173</v>
      </c>
      <c r="AM135" s="158">
        <f t="shared" ca="1" si="70"/>
        <v>15561.687920833327</v>
      </c>
      <c r="AN135" s="158">
        <f t="shared" ca="1" si="71"/>
        <v>12419.020494491358</v>
      </c>
      <c r="AO135" s="169">
        <f t="shared" ca="1" si="72"/>
        <v>195</v>
      </c>
      <c r="AP135" s="169">
        <f t="shared" ca="1" si="73"/>
        <v>140</v>
      </c>
      <c r="AQ135" s="158">
        <f t="shared" ca="1" si="74"/>
        <v>0</v>
      </c>
      <c r="AR135" s="158">
        <f t="shared" ca="1" si="75"/>
        <v>37.536100721154071</v>
      </c>
      <c r="AS135" s="170"/>
      <c r="AT135" s="159"/>
      <c r="AU135" s="159"/>
    </row>
    <row r="136" spans="1:47" x14ac:dyDescent="0.6">
      <c r="A136" s="171" t="str">
        <f t="shared" ca="1" si="41"/>
        <v>November 2034</v>
      </c>
      <c r="B136" s="191">
        <v>0</v>
      </c>
      <c r="C136" s="269">
        <f t="shared" ca="1" si="61"/>
        <v>5.4899999999999997E-2</v>
      </c>
      <c r="D136" s="173" t="str">
        <f t="shared" ca="1" si="62"/>
        <v/>
      </c>
      <c r="E136" s="174" t="str">
        <f t="shared" ca="1" si="63"/>
        <v/>
      </c>
      <c r="F136" s="175">
        <f t="shared" ca="1" si="64"/>
        <v>49</v>
      </c>
      <c r="G136" s="10">
        <v>119</v>
      </c>
      <c r="H136" s="176">
        <f t="shared" ca="1" si="65"/>
        <v>194</v>
      </c>
      <c r="I136" s="12">
        <f t="shared" ca="1" si="66"/>
        <v>15486.615719391019</v>
      </c>
      <c r="J136" s="12">
        <f t="shared" ca="1" si="42"/>
        <v>7282.0035399038707</v>
      </c>
      <c r="K136" s="177">
        <f t="shared" ca="1" si="43"/>
        <v>8204.6121794871469</v>
      </c>
      <c r="L136" s="177">
        <f t="shared" ca="1" si="44"/>
        <v>1583490.1506410309</v>
      </c>
      <c r="M136" s="11">
        <f t="shared" ca="1" si="45"/>
        <v>-2.3646862246096134E-11</v>
      </c>
      <c r="N136" s="12">
        <f ca="1">IF(Y136=0, 0, ROUND(SUM(Y$17:Y136)-SUM(J$17:J136),0))</f>
        <v>0</v>
      </c>
      <c r="O136" s="12" t="str">
        <f t="shared" ca="1" si="46"/>
        <v/>
      </c>
      <c r="P136" s="12">
        <f t="shared" ca="1" si="47"/>
        <v>3410000</v>
      </c>
      <c r="Q136" s="178">
        <f t="shared" ca="1" si="77"/>
        <v>5000000</v>
      </c>
      <c r="R136" s="178">
        <f t="shared" ca="1" si="77"/>
        <v>0</v>
      </c>
      <c r="S136" s="178">
        <f t="shared" ca="1" si="77"/>
        <v>358488</v>
      </c>
      <c r="T136" s="178">
        <f t="shared" ca="1" si="77"/>
        <v>628000</v>
      </c>
      <c r="U136" s="179" t="str">
        <f t="shared" ca="1" si="48"/>
        <v/>
      </c>
      <c r="V136" s="180">
        <f t="shared" ca="1" si="40"/>
        <v>3.0999999999999996</v>
      </c>
      <c r="W136" s="181">
        <f t="shared" ca="1" si="67"/>
        <v>194</v>
      </c>
      <c r="X136" s="177">
        <f t="shared" ca="1" si="49"/>
        <v>15486.615719391026</v>
      </c>
      <c r="Y136" s="12">
        <f t="shared" ca="1" si="50"/>
        <v>7282.003539903847</v>
      </c>
      <c r="Z136" s="182">
        <f t="shared" ca="1" si="51"/>
        <v>1583490.150641026</v>
      </c>
      <c r="AA136" s="271">
        <f t="shared" ca="1" si="68"/>
        <v>0.22</v>
      </c>
      <c r="AB136" s="12">
        <f t="shared" ca="1" si="52"/>
        <v>13922.794940612166</v>
      </c>
      <c r="AC136" s="12">
        <f t="shared" ca="1" si="53"/>
        <v>13922.794940612181</v>
      </c>
      <c r="AD136" s="199"/>
      <c r="AE136" s="273">
        <f t="shared" ca="1" si="54"/>
        <v>1.6821425527395739E-3</v>
      </c>
      <c r="AF136" s="184">
        <f t="shared" ca="1" si="55"/>
        <v>0.81982862432741288</v>
      </c>
      <c r="AG136" s="12">
        <f t="shared" ca="1" si="56"/>
        <v>11414.305822954737</v>
      </c>
      <c r="AH136" s="12">
        <f t="shared" ca="1" si="57"/>
        <v>11414.305822954748</v>
      </c>
      <c r="AI136" s="185">
        <f t="shared" ca="1" si="58"/>
        <v>49</v>
      </c>
      <c r="AJ136" s="177">
        <f t="shared" ca="1" si="59"/>
        <v>49</v>
      </c>
      <c r="AK136" s="12">
        <f t="shared" ca="1" si="60"/>
        <v>-15535.615719391019</v>
      </c>
      <c r="AL136" s="185">
        <f t="shared" ca="1" si="69"/>
        <v>15486.615719391019</v>
      </c>
      <c r="AM136" s="177">
        <f t="shared" ca="1" si="70"/>
        <v>15524.151820112173</v>
      </c>
      <c r="AN136" s="177">
        <f t="shared" ca="1" si="71"/>
        <v>12394.840226037288</v>
      </c>
      <c r="AO136" s="196">
        <f t="shared" ca="1" si="72"/>
        <v>194</v>
      </c>
      <c r="AP136" s="196">
        <f t="shared" ca="1" si="73"/>
        <v>139</v>
      </c>
      <c r="AQ136" s="177">
        <f t="shared" ca="1" si="74"/>
        <v>0</v>
      </c>
      <c r="AR136" s="177">
        <f t="shared" ca="1" si="75"/>
        <v>37.536100721154071</v>
      </c>
      <c r="AS136" s="189"/>
      <c r="AT136" s="190"/>
      <c r="AU136" s="190"/>
    </row>
    <row r="137" spans="1:47" x14ac:dyDescent="0.6">
      <c r="A137" s="152" t="str">
        <f t="shared" ca="1" si="41"/>
        <v>Desember 2034</v>
      </c>
      <c r="B137" s="191">
        <v>0</v>
      </c>
      <c r="C137" s="270">
        <f t="shared" ca="1" si="61"/>
        <v>5.4899999999999997E-2</v>
      </c>
      <c r="D137" s="192" t="str">
        <f t="shared" ca="1" si="62"/>
        <v/>
      </c>
      <c r="E137" s="193" t="str">
        <f t="shared" ca="1" si="63"/>
        <v/>
      </c>
      <c r="F137" s="194">
        <f t="shared" ca="1" si="64"/>
        <v>49</v>
      </c>
      <c r="G137" s="14">
        <v>120</v>
      </c>
      <c r="H137" s="157">
        <f t="shared" ca="1" si="65"/>
        <v>193</v>
      </c>
      <c r="I137" s="16">
        <f t="shared" ca="1" si="66"/>
        <v>15449.079618669864</v>
      </c>
      <c r="J137" s="16">
        <f t="shared" ca="1" si="42"/>
        <v>7244.4674391827166</v>
      </c>
      <c r="K137" s="158">
        <f t="shared" ca="1" si="43"/>
        <v>8204.6121794871469</v>
      </c>
      <c r="L137" s="158">
        <f t="shared" ca="1" si="44"/>
        <v>1575285.5384615436</v>
      </c>
      <c r="M137" s="15">
        <f t="shared" ca="1" si="45"/>
        <v>-2.3646862246096134E-11</v>
      </c>
      <c r="N137" s="16">
        <f ca="1">IF(Y137=0, 0, ROUND(SUM(Y$17:Y137)-SUM(J$17:J137),0))</f>
        <v>0</v>
      </c>
      <c r="O137" s="16" t="str">
        <f t="shared" ca="1" si="46"/>
        <v/>
      </c>
      <c r="P137" s="16">
        <f t="shared" ca="1" si="47"/>
        <v>3420000</v>
      </c>
      <c r="Q137" s="160">
        <f t="shared" ca="1" si="77"/>
        <v>5000000</v>
      </c>
      <c r="R137" s="160">
        <f t="shared" ca="1" si="77"/>
        <v>0</v>
      </c>
      <c r="S137" s="160">
        <f t="shared" ca="1" si="77"/>
        <v>358488</v>
      </c>
      <c r="T137" s="160">
        <f t="shared" ca="1" si="77"/>
        <v>628000</v>
      </c>
      <c r="U137" s="161" t="str">
        <f t="shared" ca="1" si="48"/>
        <v/>
      </c>
      <c r="V137" s="162">
        <f t="shared" ca="1" si="40"/>
        <v>3.0799999999999996</v>
      </c>
      <c r="W137" s="195">
        <f t="shared" ca="1" si="67"/>
        <v>193</v>
      </c>
      <c r="X137" s="158">
        <f t="shared" ca="1" si="49"/>
        <v>15449.079618669872</v>
      </c>
      <c r="Y137" s="16">
        <f t="shared" ca="1" si="50"/>
        <v>7244.4674391826929</v>
      </c>
      <c r="Z137" s="164">
        <f t="shared" ca="1" si="51"/>
        <v>1575285.538461539</v>
      </c>
      <c r="AA137" s="272">
        <f t="shared" ca="1" si="68"/>
        <v>0.22</v>
      </c>
      <c r="AB137" s="16">
        <f t="shared" ca="1" si="52"/>
        <v>13893.516782049666</v>
      </c>
      <c r="AC137" s="16">
        <f t="shared" ca="1" si="53"/>
        <v>13893.516782049679</v>
      </c>
      <c r="AD137" s="197"/>
      <c r="AE137" s="274">
        <f t="shared" ca="1" si="54"/>
        <v>1.6821425527395739E-3</v>
      </c>
      <c r="AF137" s="166">
        <f t="shared" ca="1" si="55"/>
        <v>0.81844955571247779</v>
      </c>
      <c r="AG137" s="16">
        <f t="shared" ca="1" si="56"/>
        <v>11371.142637552404</v>
      </c>
      <c r="AH137" s="16">
        <f t="shared" ca="1" si="57"/>
        <v>11371.142637552413</v>
      </c>
      <c r="AI137" s="168">
        <f t="shared" ca="1" si="58"/>
        <v>49</v>
      </c>
      <c r="AJ137" s="158">
        <f t="shared" ca="1" si="59"/>
        <v>49</v>
      </c>
      <c r="AK137" s="16">
        <f t="shared" ca="1" si="60"/>
        <v>-15498.079618669864</v>
      </c>
      <c r="AL137" s="168">
        <f t="shared" ca="1" si="69"/>
        <v>15449.079618669864</v>
      </c>
      <c r="AM137" s="158">
        <f t="shared" ca="1" si="70"/>
        <v>15486.615719391019</v>
      </c>
      <c r="AN137" s="158">
        <f t="shared" ca="1" si="71"/>
        <v>12370.686375155936</v>
      </c>
      <c r="AO137" s="169">
        <f t="shared" ca="1" si="72"/>
        <v>193</v>
      </c>
      <c r="AP137" s="169">
        <f t="shared" ca="1" si="73"/>
        <v>139</v>
      </c>
      <c r="AQ137" s="158">
        <f t="shared" ca="1" si="74"/>
        <v>0</v>
      </c>
      <c r="AR137" s="158">
        <f t="shared" ca="1" si="75"/>
        <v>37.536100721154071</v>
      </c>
      <c r="AS137" s="170"/>
      <c r="AT137" s="159"/>
      <c r="AU137" s="159"/>
    </row>
    <row r="138" spans="1:47" x14ac:dyDescent="0.6">
      <c r="A138" s="171" t="str">
        <f t="shared" ca="1" si="41"/>
        <v>Januar 2035</v>
      </c>
      <c r="B138" s="191">
        <v>0</v>
      </c>
      <c r="C138" s="269">
        <f t="shared" ca="1" si="61"/>
        <v>5.4899999999999997E-2</v>
      </c>
      <c r="D138" s="173" t="str">
        <f t="shared" ca="1" si="62"/>
        <v/>
      </c>
      <c r="E138" s="174" t="str">
        <f t="shared" ca="1" si="63"/>
        <v/>
      </c>
      <c r="F138" s="175">
        <f t="shared" ca="1" si="64"/>
        <v>49</v>
      </c>
      <c r="G138" s="10">
        <v>121</v>
      </c>
      <c r="H138" s="176">
        <f t="shared" ca="1" si="65"/>
        <v>192</v>
      </c>
      <c r="I138" s="12">
        <f t="shared" ca="1" si="66"/>
        <v>15411.54351794871</v>
      </c>
      <c r="J138" s="12">
        <f t="shared" ca="1" si="42"/>
        <v>7206.9313384615625</v>
      </c>
      <c r="K138" s="177">
        <f t="shared" ca="1" si="43"/>
        <v>8204.6121794871469</v>
      </c>
      <c r="L138" s="177">
        <f t="shared" ca="1" si="44"/>
        <v>1567080.9262820564</v>
      </c>
      <c r="M138" s="11">
        <f t="shared" ca="1" si="45"/>
        <v>-2.1827872842550278E-11</v>
      </c>
      <c r="N138" s="12">
        <f ca="1">IF(Y138=0, 0, ROUND(SUM(Y$17:Y138)-SUM(J$17:J138),0))</f>
        <v>0</v>
      </c>
      <c r="O138" s="12" t="str">
        <f t="shared" ca="1" si="46"/>
        <v/>
      </c>
      <c r="P138" s="12">
        <f t="shared" ca="1" si="47"/>
        <v>3430000</v>
      </c>
      <c r="Q138" s="178">
        <f t="shared" ref="Q138:T157" ca="1" si="78">OFFSET(Q138,-1,0,1,1)</f>
        <v>5000000</v>
      </c>
      <c r="R138" s="178">
        <f t="shared" ca="1" si="78"/>
        <v>0</v>
      </c>
      <c r="S138" s="178">
        <f t="shared" ca="1" si="78"/>
        <v>358488</v>
      </c>
      <c r="T138" s="178">
        <f t="shared" ca="1" si="78"/>
        <v>628000</v>
      </c>
      <c r="U138" s="179" t="str">
        <f t="shared" ca="1" si="48"/>
        <v/>
      </c>
      <c r="V138" s="180">
        <f t="shared" ca="1" si="40"/>
        <v>3.07</v>
      </c>
      <c r="W138" s="181">
        <f t="shared" ca="1" si="67"/>
        <v>192</v>
      </c>
      <c r="X138" s="177">
        <f t="shared" ca="1" si="49"/>
        <v>15411.543517948721</v>
      </c>
      <c r="Y138" s="12">
        <f t="shared" ca="1" si="50"/>
        <v>7206.9313384615407</v>
      </c>
      <c r="Z138" s="182">
        <f t="shared" ca="1" si="51"/>
        <v>1567080.9262820517</v>
      </c>
      <c r="AA138" s="271">
        <f t="shared" ca="1" si="68"/>
        <v>0.22</v>
      </c>
      <c r="AB138" s="12">
        <f t="shared" ca="1" si="52"/>
        <v>13864.238623487166</v>
      </c>
      <c r="AC138" s="12">
        <f t="shared" ca="1" si="53"/>
        <v>13864.238623487181</v>
      </c>
      <c r="AD138" s="199"/>
      <c r="AE138" s="273">
        <f t="shared" ca="1" si="54"/>
        <v>1.6821425527395739E-3</v>
      </c>
      <c r="AF138" s="184">
        <f t="shared" ca="1" si="55"/>
        <v>0.81707280688754302</v>
      </c>
      <c r="AG138" s="12">
        <f t="shared" ca="1" si="56"/>
        <v>11328.092367451345</v>
      </c>
      <c r="AH138" s="12">
        <f t="shared" ca="1" si="57"/>
        <v>11328.092367451356</v>
      </c>
      <c r="AI138" s="185">
        <f t="shared" ca="1" si="58"/>
        <v>49</v>
      </c>
      <c r="AJ138" s="177">
        <f t="shared" ca="1" si="59"/>
        <v>49</v>
      </c>
      <c r="AK138" s="12">
        <f t="shared" ca="1" si="60"/>
        <v>-15460.54351794871</v>
      </c>
      <c r="AL138" s="185">
        <f t="shared" ca="1" si="69"/>
        <v>15411.54351794871</v>
      </c>
      <c r="AM138" s="177">
        <f t="shared" ca="1" si="70"/>
        <v>15449.079618669864</v>
      </c>
      <c r="AN138" s="177">
        <f t="shared" ca="1" si="71"/>
        <v>12346.558962846297</v>
      </c>
      <c r="AO138" s="196">
        <f t="shared" ca="1" si="72"/>
        <v>192</v>
      </c>
      <c r="AP138" s="196">
        <f t="shared" ca="1" si="73"/>
        <v>138</v>
      </c>
      <c r="AQ138" s="177">
        <f t="shared" ca="1" si="74"/>
        <v>0</v>
      </c>
      <c r="AR138" s="177">
        <f t="shared" ca="1" si="75"/>
        <v>37.536100721154071</v>
      </c>
      <c r="AS138" s="189"/>
      <c r="AT138" s="190"/>
      <c r="AU138" s="190"/>
    </row>
    <row r="139" spans="1:47" x14ac:dyDescent="0.6">
      <c r="A139" s="152" t="str">
        <f t="shared" ca="1" si="41"/>
        <v>Februar 2035</v>
      </c>
      <c r="B139" s="191">
        <v>0</v>
      </c>
      <c r="C139" s="270">
        <f t="shared" ca="1" si="61"/>
        <v>5.4899999999999997E-2</v>
      </c>
      <c r="D139" s="192" t="str">
        <f t="shared" ca="1" si="62"/>
        <v/>
      </c>
      <c r="E139" s="193" t="str">
        <f t="shared" ca="1" si="63"/>
        <v/>
      </c>
      <c r="F139" s="194">
        <f t="shared" ca="1" si="64"/>
        <v>49</v>
      </c>
      <c r="G139" s="14">
        <v>122</v>
      </c>
      <c r="H139" s="157">
        <f t="shared" ca="1" si="65"/>
        <v>191</v>
      </c>
      <c r="I139" s="16">
        <f t="shared" ca="1" si="66"/>
        <v>15374.007417227556</v>
      </c>
      <c r="J139" s="16">
        <f t="shared" ca="1" si="42"/>
        <v>7169.3952377404084</v>
      </c>
      <c r="K139" s="158">
        <f t="shared" ca="1" si="43"/>
        <v>8204.6121794871469</v>
      </c>
      <c r="L139" s="158">
        <f t="shared" ca="1" si="44"/>
        <v>1558876.3141025691</v>
      </c>
      <c r="M139" s="15">
        <f t="shared" ca="1" si="45"/>
        <v>-2.1827872842550278E-11</v>
      </c>
      <c r="N139" s="16">
        <f ca="1">IF(Y139=0, 0, ROUND(SUM(Y$17:Y139)-SUM(J$17:J139),0))</f>
        <v>0</v>
      </c>
      <c r="O139" s="16" t="str">
        <f t="shared" ca="1" si="46"/>
        <v/>
      </c>
      <c r="P139" s="16">
        <f t="shared" ca="1" si="47"/>
        <v>3440000</v>
      </c>
      <c r="Q139" s="160">
        <f t="shared" ca="1" si="78"/>
        <v>5000000</v>
      </c>
      <c r="R139" s="160">
        <f t="shared" ca="1" si="78"/>
        <v>0</v>
      </c>
      <c r="S139" s="160">
        <f t="shared" ca="1" si="78"/>
        <v>358488</v>
      </c>
      <c r="T139" s="160">
        <f t="shared" ca="1" si="78"/>
        <v>628000</v>
      </c>
      <c r="U139" s="161" t="str">
        <f t="shared" ca="1" si="48"/>
        <v/>
      </c>
      <c r="V139" s="162">
        <f t="shared" ca="1" si="40"/>
        <v>3.0599999999999996</v>
      </c>
      <c r="W139" s="195">
        <f t="shared" ca="1" si="67"/>
        <v>191</v>
      </c>
      <c r="X139" s="158">
        <f t="shared" ca="1" si="49"/>
        <v>15374.007417227567</v>
      </c>
      <c r="Y139" s="16">
        <f t="shared" ca="1" si="50"/>
        <v>7169.3952377403866</v>
      </c>
      <c r="Z139" s="164">
        <f t="shared" ca="1" si="51"/>
        <v>1558876.3141025645</v>
      </c>
      <c r="AA139" s="272">
        <f t="shared" ca="1" si="68"/>
        <v>0.22</v>
      </c>
      <c r="AB139" s="16">
        <f t="shared" ca="1" si="52"/>
        <v>13834.960464924665</v>
      </c>
      <c r="AC139" s="16">
        <f t="shared" ca="1" si="53"/>
        <v>13834.960464924681</v>
      </c>
      <c r="AD139" s="197"/>
      <c r="AE139" s="274">
        <f t="shared" ca="1" si="54"/>
        <v>1.6821425527395739E-3</v>
      </c>
      <c r="AF139" s="166">
        <f t="shared" ca="1" si="55"/>
        <v>0.81569837395039113</v>
      </c>
      <c r="AG139" s="16">
        <f t="shared" ca="1" si="56"/>
        <v>11285.154754906996</v>
      </c>
      <c r="AH139" s="16">
        <f t="shared" ca="1" si="57"/>
        <v>11285.154754907009</v>
      </c>
      <c r="AI139" s="168">
        <f t="shared" ca="1" si="58"/>
        <v>49</v>
      </c>
      <c r="AJ139" s="158">
        <f t="shared" ca="1" si="59"/>
        <v>49</v>
      </c>
      <c r="AK139" s="16">
        <f t="shared" ca="1" si="60"/>
        <v>-15423.007417227556</v>
      </c>
      <c r="AL139" s="168">
        <f t="shared" ca="1" si="69"/>
        <v>15374.007417227556</v>
      </c>
      <c r="AM139" s="158">
        <f t="shared" ca="1" si="70"/>
        <v>15411.54351794871</v>
      </c>
      <c r="AN139" s="158">
        <f t="shared" ca="1" si="71"/>
        <v>12322.458010018538</v>
      </c>
      <c r="AO139" s="169">
        <f t="shared" ca="1" si="72"/>
        <v>191</v>
      </c>
      <c r="AP139" s="169">
        <f t="shared" ca="1" si="73"/>
        <v>138</v>
      </c>
      <c r="AQ139" s="158">
        <f t="shared" ca="1" si="74"/>
        <v>0</v>
      </c>
      <c r="AR139" s="158">
        <f t="shared" ca="1" si="75"/>
        <v>37.536100721154071</v>
      </c>
      <c r="AS139" s="170"/>
      <c r="AT139" s="159"/>
      <c r="AU139" s="159"/>
    </row>
    <row r="140" spans="1:47" x14ac:dyDescent="0.6">
      <c r="A140" s="171" t="str">
        <f t="shared" ca="1" si="41"/>
        <v>Mars 2035</v>
      </c>
      <c r="B140" s="191">
        <v>0</v>
      </c>
      <c r="C140" s="269">
        <f t="shared" ca="1" si="61"/>
        <v>5.4899999999999997E-2</v>
      </c>
      <c r="D140" s="173" t="str">
        <f t="shared" ca="1" si="62"/>
        <v/>
      </c>
      <c r="E140" s="174" t="str">
        <f t="shared" ca="1" si="63"/>
        <v/>
      </c>
      <c r="F140" s="175">
        <f t="shared" ca="1" si="64"/>
        <v>49</v>
      </c>
      <c r="G140" s="10">
        <v>123</v>
      </c>
      <c r="H140" s="176">
        <f t="shared" ca="1" si="65"/>
        <v>190</v>
      </c>
      <c r="I140" s="12">
        <f t="shared" ca="1" si="66"/>
        <v>15336.471316506399</v>
      </c>
      <c r="J140" s="12">
        <f t="shared" ca="1" si="42"/>
        <v>7131.8591370192526</v>
      </c>
      <c r="K140" s="177">
        <f t="shared" ca="1" si="43"/>
        <v>8204.6121794871469</v>
      </c>
      <c r="L140" s="177">
        <f t="shared" ca="1" si="44"/>
        <v>1550671.7019230819</v>
      </c>
      <c r="M140" s="11">
        <f t="shared" ca="1" si="45"/>
        <v>-2.0008883439004421E-11</v>
      </c>
      <c r="N140" s="12">
        <f ca="1">IF(Y140=0, 0, ROUND(SUM(Y$17:Y140)-SUM(J$17:J140),0))</f>
        <v>0</v>
      </c>
      <c r="O140" s="12" t="str">
        <f t="shared" ca="1" si="46"/>
        <v/>
      </c>
      <c r="P140" s="12" t="str">
        <f t="shared" ca="1" si="47"/>
        <v/>
      </c>
      <c r="Q140" s="178">
        <f t="shared" ca="1" si="78"/>
        <v>5000000</v>
      </c>
      <c r="R140" s="178">
        <f t="shared" ca="1" si="78"/>
        <v>0</v>
      </c>
      <c r="S140" s="178">
        <f t="shared" ca="1" si="78"/>
        <v>358488</v>
      </c>
      <c r="T140" s="178">
        <f t="shared" ca="1" si="78"/>
        <v>628000</v>
      </c>
      <c r="U140" s="179" t="str">
        <f t="shared" ca="1" si="48"/>
        <v/>
      </c>
      <c r="V140" s="180">
        <f t="shared" ca="1" si="40"/>
        <v>3.05</v>
      </c>
      <c r="W140" s="181">
        <f t="shared" ca="1" si="67"/>
        <v>190</v>
      </c>
      <c r="X140" s="177">
        <f t="shared" ca="1" si="49"/>
        <v>15336.471316506413</v>
      </c>
      <c r="Y140" s="12">
        <f t="shared" ca="1" si="50"/>
        <v>7131.8591370192325</v>
      </c>
      <c r="Z140" s="182">
        <f t="shared" ca="1" si="51"/>
        <v>1550671.7019230772</v>
      </c>
      <c r="AA140" s="271">
        <f t="shared" ca="1" si="68"/>
        <v>0.22</v>
      </c>
      <c r="AB140" s="12">
        <f t="shared" ca="1" si="52"/>
        <v>13805.682306362163</v>
      </c>
      <c r="AC140" s="12">
        <f t="shared" ca="1" si="53"/>
        <v>13805.682306362181</v>
      </c>
      <c r="AD140" s="199"/>
      <c r="AE140" s="273">
        <f t="shared" ca="1" si="54"/>
        <v>1.6821425527395739E-3</v>
      </c>
      <c r="AF140" s="184">
        <f t="shared" ca="1" si="55"/>
        <v>0.81432625300536865</v>
      </c>
      <c r="AG140" s="12">
        <f t="shared" ca="1" si="56"/>
        <v>11242.329542722417</v>
      </c>
      <c r="AH140" s="12">
        <f t="shared" ca="1" si="57"/>
        <v>11242.329542722431</v>
      </c>
      <c r="AI140" s="185">
        <f t="shared" ca="1" si="58"/>
        <v>49</v>
      </c>
      <c r="AJ140" s="177">
        <f t="shared" ca="1" si="59"/>
        <v>49</v>
      </c>
      <c r="AK140" s="12">
        <f t="shared" ca="1" si="60"/>
        <v>-15385.471316506399</v>
      </c>
      <c r="AL140" s="185">
        <f t="shared" ca="1" si="69"/>
        <v>15336.471316506399</v>
      </c>
      <c r="AM140" s="177">
        <f t="shared" ca="1" si="70"/>
        <v>15374.007417227556</v>
      </c>
      <c r="AN140" s="177">
        <f t="shared" ca="1" si="71"/>
        <v>12298.383537493708</v>
      </c>
      <c r="AO140" s="196">
        <f t="shared" ca="1" si="72"/>
        <v>190</v>
      </c>
      <c r="AP140" s="196">
        <f t="shared" ca="1" si="73"/>
        <v>137</v>
      </c>
      <c r="AQ140" s="177">
        <f t="shared" ca="1" si="74"/>
        <v>0</v>
      </c>
      <c r="AR140" s="177">
        <f t="shared" ca="1" si="75"/>
        <v>37.536100721157709</v>
      </c>
      <c r="AS140" s="189"/>
      <c r="AT140" s="190"/>
      <c r="AU140" s="190"/>
    </row>
    <row r="141" spans="1:47" x14ac:dyDescent="0.6">
      <c r="A141" s="152" t="str">
        <f t="shared" ca="1" si="41"/>
        <v>April 2035</v>
      </c>
      <c r="B141" s="191">
        <v>0</v>
      </c>
      <c r="C141" s="270">
        <f t="shared" ca="1" si="61"/>
        <v>5.4899999999999997E-2</v>
      </c>
      <c r="D141" s="192" t="str">
        <f t="shared" ca="1" si="62"/>
        <v/>
      </c>
      <c r="E141" s="193" t="str">
        <f t="shared" ca="1" si="63"/>
        <v/>
      </c>
      <c r="F141" s="194">
        <f t="shared" ca="1" si="64"/>
        <v>49</v>
      </c>
      <c r="G141" s="14">
        <v>124</v>
      </c>
      <c r="H141" s="157">
        <f t="shared" ca="1" si="65"/>
        <v>189</v>
      </c>
      <c r="I141" s="16">
        <f t="shared" ca="1" si="66"/>
        <v>15298.935215785245</v>
      </c>
      <c r="J141" s="16">
        <f t="shared" ca="1" si="42"/>
        <v>7094.3230362980985</v>
      </c>
      <c r="K141" s="158">
        <f t="shared" ca="1" si="43"/>
        <v>8204.6121794871469</v>
      </c>
      <c r="L141" s="158">
        <f t="shared" ca="1" si="44"/>
        <v>1542467.0897435946</v>
      </c>
      <c r="M141" s="15">
        <f t="shared" ca="1" si="45"/>
        <v>-2.0008883439004421E-11</v>
      </c>
      <c r="N141" s="16">
        <f ca="1">IF(Y141=0, 0, ROUND(SUM(Y$17:Y141)-SUM(J$17:J141),0))</f>
        <v>0</v>
      </c>
      <c r="O141" s="16" t="str">
        <f t="shared" ca="1" si="46"/>
        <v/>
      </c>
      <c r="P141" s="16">
        <f t="shared" ca="1" si="47"/>
        <v>3450000</v>
      </c>
      <c r="Q141" s="160">
        <f t="shared" ca="1" si="78"/>
        <v>5000000</v>
      </c>
      <c r="R141" s="160">
        <f t="shared" ca="1" si="78"/>
        <v>0</v>
      </c>
      <c r="S141" s="160">
        <f t="shared" ca="1" si="78"/>
        <v>358488</v>
      </c>
      <c r="T141" s="160">
        <f t="shared" ca="1" si="78"/>
        <v>628000</v>
      </c>
      <c r="U141" s="161" t="str">
        <f t="shared" ca="1" si="48"/>
        <v/>
      </c>
      <c r="V141" s="162">
        <f t="shared" ca="1" si="40"/>
        <v>3.03</v>
      </c>
      <c r="W141" s="195">
        <f t="shared" ca="1" si="67"/>
        <v>189</v>
      </c>
      <c r="X141" s="158">
        <f t="shared" ca="1" si="49"/>
        <v>15298.935215785259</v>
      </c>
      <c r="Y141" s="16">
        <f t="shared" ca="1" si="50"/>
        <v>7094.3230362980785</v>
      </c>
      <c r="Z141" s="164">
        <f t="shared" ca="1" si="51"/>
        <v>1542467.0897435902</v>
      </c>
      <c r="AA141" s="272">
        <f t="shared" ca="1" si="68"/>
        <v>0.22</v>
      </c>
      <c r="AB141" s="16">
        <f t="shared" ca="1" si="52"/>
        <v>13776.404147799665</v>
      </c>
      <c r="AC141" s="16">
        <f t="shared" ca="1" si="53"/>
        <v>13776.40414779968</v>
      </c>
      <c r="AD141" s="197"/>
      <c r="AE141" s="274">
        <f t="shared" ca="1" si="54"/>
        <v>1.6821425527395739E-3</v>
      </c>
      <c r="AF141" s="166">
        <f t="shared" ca="1" si="55"/>
        <v>0.81295644016337532</v>
      </c>
      <c r="AG141" s="16">
        <f t="shared" ca="1" si="56"/>
        <v>11199.616474247174</v>
      </c>
      <c r="AH141" s="16">
        <f t="shared" ca="1" si="57"/>
        <v>11199.616474247186</v>
      </c>
      <c r="AI141" s="168">
        <f t="shared" ca="1" si="58"/>
        <v>49</v>
      </c>
      <c r="AJ141" s="158">
        <f t="shared" ca="1" si="59"/>
        <v>49</v>
      </c>
      <c r="AK141" s="16">
        <f t="shared" ca="1" si="60"/>
        <v>-15347.935215785245</v>
      </c>
      <c r="AL141" s="168">
        <f t="shared" ca="1" si="69"/>
        <v>15298.935215785245</v>
      </c>
      <c r="AM141" s="158">
        <f t="shared" ca="1" si="70"/>
        <v>15336.471316506399</v>
      </c>
      <c r="AN141" s="158">
        <f t="shared" ca="1" si="71"/>
        <v>12274.335566003465</v>
      </c>
      <c r="AO141" s="169">
        <f t="shared" ca="1" si="72"/>
        <v>189</v>
      </c>
      <c r="AP141" s="169">
        <f t="shared" ca="1" si="73"/>
        <v>137</v>
      </c>
      <c r="AQ141" s="158">
        <f t="shared" ca="1" si="74"/>
        <v>0</v>
      </c>
      <c r="AR141" s="158">
        <f t="shared" ca="1" si="75"/>
        <v>37.536100721154071</v>
      </c>
      <c r="AS141" s="170"/>
      <c r="AT141" s="159"/>
      <c r="AU141" s="159"/>
    </row>
    <row r="142" spans="1:47" x14ac:dyDescent="0.6">
      <c r="A142" s="171" t="str">
        <f t="shared" ca="1" si="41"/>
        <v>Mai 2035</v>
      </c>
      <c r="B142" s="191">
        <v>0</v>
      </c>
      <c r="C142" s="269">
        <f t="shared" ca="1" si="61"/>
        <v>5.4899999999999997E-2</v>
      </c>
      <c r="D142" s="173" t="str">
        <f t="shared" ca="1" si="62"/>
        <v/>
      </c>
      <c r="E142" s="174" t="str">
        <f t="shared" ca="1" si="63"/>
        <v/>
      </c>
      <c r="F142" s="175">
        <f t="shared" ca="1" si="64"/>
        <v>49</v>
      </c>
      <c r="G142" s="10">
        <v>125</v>
      </c>
      <c r="H142" s="176">
        <f t="shared" ca="1" si="65"/>
        <v>188</v>
      </c>
      <c r="I142" s="12">
        <f t="shared" ca="1" si="66"/>
        <v>15261.39911506409</v>
      </c>
      <c r="J142" s="12">
        <f t="shared" ca="1" si="42"/>
        <v>7056.7869355769444</v>
      </c>
      <c r="K142" s="177">
        <f t="shared" ca="1" si="43"/>
        <v>8204.6121794871469</v>
      </c>
      <c r="L142" s="177">
        <f t="shared" ca="1" si="44"/>
        <v>1534262.4775641074</v>
      </c>
      <c r="M142" s="11">
        <f t="shared" ca="1" si="45"/>
        <v>-1.9099388737231493E-11</v>
      </c>
      <c r="N142" s="12">
        <f ca="1">IF(Y142=0, 0, ROUND(SUM(Y$17:Y142)-SUM(J$17:J142),0))</f>
        <v>0</v>
      </c>
      <c r="O142" s="12" t="str">
        <f t="shared" ca="1" si="46"/>
        <v/>
      </c>
      <c r="P142" s="12">
        <f t="shared" ca="1" si="47"/>
        <v>3460000</v>
      </c>
      <c r="Q142" s="178">
        <f t="shared" ca="1" si="78"/>
        <v>5000000</v>
      </c>
      <c r="R142" s="178">
        <f t="shared" ca="1" si="78"/>
        <v>0</v>
      </c>
      <c r="S142" s="178">
        <f t="shared" ca="1" si="78"/>
        <v>358488</v>
      </c>
      <c r="T142" s="178">
        <f t="shared" ca="1" si="78"/>
        <v>628000</v>
      </c>
      <c r="U142" s="179" t="str">
        <f t="shared" ca="1" si="48"/>
        <v/>
      </c>
      <c r="V142" s="180">
        <f t="shared" ca="1" si="40"/>
        <v>3.0199999999999996</v>
      </c>
      <c r="W142" s="181">
        <f t="shared" ca="1" si="67"/>
        <v>188</v>
      </c>
      <c r="X142" s="177">
        <f t="shared" ca="1" si="49"/>
        <v>15261.399115064105</v>
      </c>
      <c r="Y142" s="12">
        <f t="shared" ca="1" si="50"/>
        <v>7056.7869355769253</v>
      </c>
      <c r="Z142" s="182">
        <f t="shared" ca="1" si="51"/>
        <v>1534262.477564103</v>
      </c>
      <c r="AA142" s="271">
        <f t="shared" ca="1" si="68"/>
        <v>0.22</v>
      </c>
      <c r="AB142" s="12">
        <f t="shared" ca="1" si="52"/>
        <v>13747.125989237164</v>
      </c>
      <c r="AC142" s="12">
        <f t="shared" ca="1" si="53"/>
        <v>13747.125989237182</v>
      </c>
      <c r="AD142" s="199"/>
      <c r="AE142" s="273">
        <f t="shared" ca="1" si="54"/>
        <v>1.6821425527395739E-3</v>
      </c>
      <c r="AF142" s="184">
        <f t="shared" ca="1" si="55"/>
        <v>0.81158893154185285</v>
      </c>
      <c r="AG142" s="12">
        <f t="shared" ca="1" si="56"/>
        <v>11157.015293376227</v>
      </c>
      <c r="AH142" s="12">
        <f t="shared" ca="1" si="57"/>
        <v>11157.015293376242</v>
      </c>
      <c r="AI142" s="185">
        <f t="shared" ca="1" si="58"/>
        <v>49</v>
      </c>
      <c r="AJ142" s="177">
        <f t="shared" ca="1" si="59"/>
        <v>49</v>
      </c>
      <c r="AK142" s="12">
        <f t="shared" ca="1" si="60"/>
        <v>-15310.39911506409</v>
      </c>
      <c r="AL142" s="185">
        <f t="shared" ca="1" si="69"/>
        <v>15261.39911506409</v>
      </c>
      <c r="AM142" s="177">
        <f t="shared" ca="1" si="70"/>
        <v>15298.935215785245</v>
      </c>
      <c r="AN142" s="177">
        <f t="shared" ca="1" si="71"/>
        <v>12250.314116189771</v>
      </c>
      <c r="AO142" s="196">
        <f t="shared" ca="1" si="72"/>
        <v>188</v>
      </c>
      <c r="AP142" s="196">
        <f t="shared" ca="1" si="73"/>
        <v>136</v>
      </c>
      <c r="AQ142" s="177">
        <f t="shared" ca="1" si="74"/>
        <v>0</v>
      </c>
      <c r="AR142" s="177">
        <f t="shared" ca="1" si="75"/>
        <v>37.536100721154071</v>
      </c>
      <c r="AS142" s="189"/>
      <c r="AT142" s="190"/>
      <c r="AU142" s="190"/>
    </row>
    <row r="143" spans="1:47" x14ac:dyDescent="0.6">
      <c r="A143" s="152" t="str">
        <f t="shared" ca="1" si="41"/>
        <v>Juni 2035</v>
      </c>
      <c r="B143" s="191">
        <v>0</v>
      </c>
      <c r="C143" s="270">
        <f t="shared" ca="1" si="61"/>
        <v>5.4899999999999997E-2</v>
      </c>
      <c r="D143" s="192" t="str">
        <f t="shared" ca="1" si="62"/>
        <v/>
      </c>
      <c r="E143" s="193" t="str">
        <f t="shared" ca="1" si="63"/>
        <v/>
      </c>
      <c r="F143" s="194">
        <f t="shared" ca="1" si="64"/>
        <v>49</v>
      </c>
      <c r="G143" s="14">
        <v>126</v>
      </c>
      <c r="H143" s="157">
        <f t="shared" ca="1" si="65"/>
        <v>187</v>
      </c>
      <c r="I143" s="16">
        <f t="shared" ca="1" si="66"/>
        <v>15223.863014342936</v>
      </c>
      <c r="J143" s="16">
        <f t="shared" ca="1" si="42"/>
        <v>7019.2508348557903</v>
      </c>
      <c r="K143" s="158">
        <f t="shared" ca="1" si="43"/>
        <v>8204.6121794871469</v>
      </c>
      <c r="L143" s="158">
        <f t="shared" ca="1" si="44"/>
        <v>1526057.8653846201</v>
      </c>
      <c r="M143" s="15">
        <f t="shared" ca="1" si="45"/>
        <v>-1.9099388737231493E-11</v>
      </c>
      <c r="N143" s="16">
        <f ca="1">IF(Y143=0, 0, ROUND(SUM(Y$17:Y143)-SUM(J$17:J143),0))</f>
        <v>0</v>
      </c>
      <c r="O143" s="16" t="str">
        <f t="shared" ca="1" si="46"/>
        <v/>
      </c>
      <c r="P143" s="16">
        <f t="shared" ca="1" si="47"/>
        <v>3470000</v>
      </c>
      <c r="Q143" s="160">
        <f t="shared" ca="1" si="78"/>
        <v>5000000</v>
      </c>
      <c r="R143" s="160">
        <f t="shared" ca="1" si="78"/>
        <v>0</v>
      </c>
      <c r="S143" s="160">
        <f t="shared" ca="1" si="78"/>
        <v>358488</v>
      </c>
      <c r="T143" s="160">
        <f t="shared" ca="1" si="78"/>
        <v>628000</v>
      </c>
      <c r="U143" s="161" t="str">
        <f t="shared" ca="1" si="48"/>
        <v/>
      </c>
      <c r="V143" s="162">
        <f t="shared" ca="1" si="40"/>
        <v>3.01</v>
      </c>
      <c r="W143" s="195">
        <f t="shared" ca="1" si="67"/>
        <v>187</v>
      </c>
      <c r="X143" s="158">
        <f t="shared" ca="1" si="49"/>
        <v>15223.863014342951</v>
      </c>
      <c r="Y143" s="16">
        <f t="shared" ca="1" si="50"/>
        <v>7019.2508348557712</v>
      </c>
      <c r="Z143" s="164">
        <f t="shared" ca="1" si="51"/>
        <v>1526057.8653846157</v>
      </c>
      <c r="AA143" s="272">
        <f t="shared" ca="1" si="68"/>
        <v>0.22</v>
      </c>
      <c r="AB143" s="16">
        <f t="shared" ca="1" si="52"/>
        <v>13717.847830674664</v>
      </c>
      <c r="AC143" s="16">
        <f t="shared" ca="1" si="53"/>
        <v>13717.84783067468</v>
      </c>
      <c r="AD143" s="197"/>
      <c r="AE143" s="274">
        <f t="shared" ca="1" si="54"/>
        <v>1.6821425527395739E-3</v>
      </c>
      <c r="AF143" s="166">
        <f t="shared" ca="1" si="55"/>
        <v>0.81022372326477388</v>
      </c>
      <c r="AG143" s="16">
        <f t="shared" ca="1" si="56"/>
        <v>11114.525744548828</v>
      </c>
      <c r="AH143" s="16">
        <f t="shared" ca="1" si="57"/>
        <v>11114.525744548841</v>
      </c>
      <c r="AI143" s="168">
        <f t="shared" ca="1" si="58"/>
        <v>49</v>
      </c>
      <c r="AJ143" s="158">
        <f t="shared" ca="1" si="59"/>
        <v>49</v>
      </c>
      <c r="AK143" s="16">
        <f t="shared" ca="1" si="60"/>
        <v>-15272.863014342936</v>
      </c>
      <c r="AL143" s="168">
        <f t="shared" ca="1" si="69"/>
        <v>15223.863014342936</v>
      </c>
      <c r="AM143" s="158">
        <f t="shared" ca="1" si="70"/>
        <v>15261.39911506409</v>
      </c>
      <c r="AN143" s="158">
        <f t="shared" ca="1" si="71"/>
        <v>12226.319208604642</v>
      </c>
      <c r="AO143" s="169">
        <f t="shared" ca="1" si="72"/>
        <v>187</v>
      </c>
      <c r="AP143" s="169">
        <f t="shared" ca="1" si="73"/>
        <v>135</v>
      </c>
      <c r="AQ143" s="158">
        <f t="shared" ca="1" si="74"/>
        <v>0</v>
      </c>
      <c r="AR143" s="158">
        <f t="shared" ca="1" si="75"/>
        <v>37.536100721154071</v>
      </c>
      <c r="AS143" s="170"/>
      <c r="AT143" s="159"/>
      <c r="AU143" s="159"/>
    </row>
    <row r="144" spans="1:47" x14ac:dyDescent="0.6">
      <c r="A144" s="171" t="str">
        <f t="shared" ca="1" si="41"/>
        <v>Juli 2035</v>
      </c>
      <c r="B144" s="191">
        <v>0</v>
      </c>
      <c r="C144" s="269">
        <f t="shared" ca="1" si="61"/>
        <v>5.4899999999999997E-2</v>
      </c>
      <c r="D144" s="173" t="str">
        <f t="shared" ca="1" si="62"/>
        <v/>
      </c>
      <c r="E144" s="174" t="str">
        <f t="shared" ca="1" si="63"/>
        <v/>
      </c>
      <c r="F144" s="175">
        <f t="shared" ca="1" si="64"/>
        <v>49</v>
      </c>
      <c r="G144" s="10">
        <v>127</v>
      </c>
      <c r="H144" s="176">
        <f t="shared" ca="1" si="65"/>
        <v>186</v>
      </c>
      <c r="I144" s="12">
        <f t="shared" ca="1" si="66"/>
        <v>15186.326913621782</v>
      </c>
      <c r="J144" s="12">
        <f t="shared" ca="1" si="42"/>
        <v>6981.7147341346363</v>
      </c>
      <c r="K144" s="177">
        <f t="shared" ca="1" si="43"/>
        <v>8204.6121794871469</v>
      </c>
      <c r="L144" s="177">
        <f t="shared" ca="1" si="44"/>
        <v>1517853.2532051329</v>
      </c>
      <c r="M144" s="11">
        <f t="shared" ca="1" si="45"/>
        <v>-1.9099388737231493E-11</v>
      </c>
      <c r="N144" s="12">
        <f ca="1">IF(Y144=0, 0, ROUND(SUM(Y$17:Y144)-SUM(J$17:J144),0))</f>
        <v>0</v>
      </c>
      <c r="O144" s="12" t="str">
        <f t="shared" ca="1" si="46"/>
        <v/>
      </c>
      <c r="P144" s="12">
        <f t="shared" ca="1" si="47"/>
        <v>3480000</v>
      </c>
      <c r="Q144" s="178">
        <f t="shared" ca="1" si="78"/>
        <v>5000000</v>
      </c>
      <c r="R144" s="178">
        <f t="shared" ca="1" si="78"/>
        <v>0</v>
      </c>
      <c r="S144" s="178">
        <f t="shared" ca="1" si="78"/>
        <v>358488</v>
      </c>
      <c r="T144" s="178">
        <f t="shared" ca="1" si="78"/>
        <v>628000</v>
      </c>
      <c r="U144" s="179">
        <f t="shared" ca="1" si="48"/>
        <v>144</v>
      </c>
      <c r="V144" s="180">
        <f t="shared" ca="1" si="40"/>
        <v>2.9899999999999998</v>
      </c>
      <c r="W144" s="181">
        <f t="shared" ca="1" si="67"/>
        <v>186</v>
      </c>
      <c r="X144" s="177">
        <f t="shared" ca="1" si="49"/>
        <v>15186.326913621797</v>
      </c>
      <c r="Y144" s="12">
        <f t="shared" ca="1" si="50"/>
        <v>6981.7147341346172</v>
      </c>
      <c r="Z144" s="182">
        <f t="shared" ca="1" si="51"/>
        <v>1517853.2532051287</v>
      </c>
      <c r="AA144" s="271">
        <f t="shared" ca="1" si="68"/>
        <v>0.22</v>
      </c>
      <c r="AB144" s="12">
        <f t="shared" ca="1" si="52"/>
        <v>13688.569672112164</v>
      </c>
      <c r="AC144" s="12">
        <f t="shared" ca="1" si="53"/>
        <v>13688.569672112182</v>
      </c>
      <c r="AD144" s="199"/>
      <c r="AE144" s="273">
        <f t="shared" ca="1" si="54"/>
        <v>1.6821425527395739E-3</v>
      </c>
      <c r="AF144" s="184">
        <f t="shared" ca="1" si="55"/>
        <v>0.80886081146263111</v>
      </c>
      <c r="AG144" s="12">
        <f t="shared" ca="1" si="56"/>
        <v>11072.147572747408</v>
      </c>
      <c r="AH144" s="12">
        <f t="shared" ca="1" si="57"/>
        <v>11072.147572747423</v>
      </c>
      <c r="AI144" s="185">
        <f t="shared" ca="1" si="58"/>
        <v>49</v>
      </c>
      <c r="AJ144" s="177">
        <f t="shared" ca="1" si="59"/>
        <v>49</v>
      </c>
      <c r="AK144" s="12">
        <f t="shared" ca="1" si="60"/>
        <v>-15235.326913621782</v>
      </c>
      <c r="AL144" s="185">
        <f t="shared" ca="1" si="69"/>
        <v>15186.326913621782</v>
      </c>
      <c r="AM144" s="177">
        <f t="shared" ca="1" si="70"/>
        <v>15223.863014342936</v>
      </c>
      <c r="AN144" s="177">
        <f t="shared" ca="1" si="71"/>
        <v>12202.350863709846</v>
      </c>
      <c r="AO144" s="196">
        <f t="shared" ca="1" si="72"/>
        <v>186</v>
      </c>
      <c r="AP144" s="196">
        <f t="shared" ca="1" si="73"/>
        <v>135</v>
      </c>
      <c r="AQ144" s="177">
        <f t="shared" ca="1" si="74"/>
        <v>0</v>
      </c>
      <c r="AR144" s="177">
        <f t="shared" ca="1" si="75"/>
        <v>37.536100721154071</v>
      </c>
      <c r="AS144" s="189"/>
      <c r="AT144" s="190"/>
      <c r="AU144" s="190"/>
    </row>
    <row r="145" spans="1:47" x14ac:dyDescent="0.6">
      <c r="A145" s="152" t="str">
        <f t="shared" ca="1" si="41"/>
        <v>August 2035</v>
      </c>
      <c r="B145" s="191">
        <v>0</v>
      </c>
      <c r="C145" s="270">
        <f t="shared" ca="1" si="61"/>
        <v>5.4899999999999997E-2</v>
      </c>
      <c r="D145" s="192" t="str">
        <f t="shared" ca="1" si="62"/>
        <v/>
      </c>
      <c r="E145" s="193" t="str">
        <f t="shared" ca="1" si="63"/>
        <v/>
      </c>
      <c r="F145" s="194">
        <f t="shared" ca="1" si="64"/>
        <v>49</v>
      </c>
      <c r="G145" s="14">
        <v>128</v>
      </c>
      <c r="H145" s="157">
        <f t="shared" ca="1" si="65"/>
        <v>185</v>
      </c>
      <c r="I145" s="16">
        <f t="shared" ca="1" si="66"/>
        <v>15148.790812900628</v>
      </c>
      <c r="J145" s="16">
        <f t="shared" ca="1" si="42"/>
        <v>6944.1786334134822</v>
      </c>
      <c r="K145" s="158">
        <f t="shared" ca="1" si="43"/>
        <v>8204.6121794871469</v>
      </c>
      <c r="L145" s="158">
        <f t="shared" ca="1" si="44"/>
        <v>1509648.6410256457</v>
      </c>
      <c r="M145" s="15">
        <f t="shared" ca="1" si="45"/>
        <v>-1.9099388737231493E-11</v>
      </c>
      <c r="N145" s="16">
        <f ca="1">IF(Y145=0, 0, ROUND(SUM(Y$17:Y145)-SUM(J$17:J145),0))</f>
        <v>0</v>
      </c>
      <c r="O145" s="16" t="str">
        <f t="shared" ca="1" si="46"/>
        <v/>
      </c>
      <c r="P145" s="16">
        <f t="shared" ca="1" si="47"/>
        <v>3490000</v>
      </c>
      <c r="Q145" s="160">
        <f t="shared" ca="1" si="78"/>
        <v>5000000</v>
      </c>
      <c r="R145" s="160">
        <f t="shared" ca="1" si="78"/>
        <v>0</v>
      </c>
      <c r="S145" s="160">
        <f t="shared" ca="1" si="78"/>
        <v>358488</v>
      </c>
      <c r="T145" s="160">
        <f t="shared" ca="1" si="78"/>
        <v>628000</v>
      </c>
      <c r="U145" s="161" t="str">
        <f t="shared" ca="1" si="48"/>
        <v/>
      </c>
      <c r="V145" s="162">
        <f t="shared" ref="V145:V208" ca="1" si="79">IF(SUM(INDIRECT(ADDRESS(ROW(), t2kInntekt))) = 0, "Inntekt mangler", ROUNDUP(($L145 + INDIRECT(ADDRESS(ROW(), t2kFGj)) + INDIRECT(ADDRESS(ROW(), t2kAnnenGjeld))) / INDIRECT(ADDRESS(ROW(), t2kInntekt)), 2))</f>
        <v>2.98</v>
      </c>
      <c r="W145" s="195">
        <f t="shared" ca="1" si="67"/>
        <v>185</v>
      </c>
      <c r="X145" s="158">
        <f t="shared" ca="1" si="49"/>
        <v>15148.790812900643</v>
      </c>
      <c r="Y145" s="16">
        <f t="shared" ca="1" si="50"/>
        <v>6944.1786334134631</v>
      </c>
      <c r="Z145" s="164">
        <f t="shared" ca="1" si="51"/>
        <v>1509648.6410256415</v>
      </c>
      <c r="AA145" s="272">
        <f t="shared" ca="1" si="68"/>
        <v>0.22</v>
      </c>
      <c r="AB145" s="16">
        <f t="shared" ca="1" si="52"/>
        <v>13659.291513549662</v>
      </c>
      <c r="AC145" s="16">
        <f t="shared" ca="1" si="53"/>
        <v>13659.291513549681</v>
      </c>
      <c r="AD145" s="197"/>
      <c r="AE145" s="274">
        <f t="shared" ca="1" si="54"/>
        <v>1.6821425527395739E-3</v>
      </c>
      <c r="AF145" s="166">
        <f t="shared" ca="1" si="55"/>
        <v>0.80750019227242631</v>
      </c>
      <c r="AG145" s="16">
        <f t="shared" ca="1" si="56"/>
        <v>11029.880523496473</v>
      </c>
      <c r="AH145" s="16">
        <f t="shared" ca="1" si="57"/>
        <v>11029.880523496488</v>
      </c>
      <c r="AI145" s="168">
        <f t="shared" ca="1" si="58"/>
        <v>49</v>
      </c>
      <c r="AJ145" s="158">
        <f t="shared" ca="1" si="59"/>
        <v>49</v>
      </c>
      <c r="AK145" s="16">
        <f t="shared" ca="1" si="60"/>
        <v>-15197.790812900628</v>
      </c>
      <c r="AL145" s="168">
        <f t="shared" ca="1" si="69"/>
        <v>15148.790812900628</v>
      </c>
      <c r="AM145" s="158">
        <f t="shared" ca="1" si="70"/>
        <v>15186.326913621782</v>
      </c>
      <c r="AN145" s="158">
        <f t="shared" ca="1" si="71"/>
        <v>12178.409101876616</v>
      </c>
      <c r="AO145" s="169">
        <f t="shared" ca="1" si="72"/>
        <v>185</v>
      </c>
      <c r="AP145" s="169">
        <f t="shared" ca="1" si="73"/>
        <v>134</v>
      </c>
      <c r="AQ145" s="158">
        <f t="shared" ca="1" si="74"/>
        <v>0</v>
      </c>
      <c r="AR145" s="158">
        <f t="shared" ca="1" si="75"/>
        <v>37.536100721154071</v>
      </c>
      <c r="AS145" s="170"/>
      <c r="AT145" s="159"/>
      <c r="AU145" s="159"/>
    </row>
    <row r="146" spans="1:47" x14ac:dyDescent="0.6">
      <c r="A146" s="171" t="str">
        <f t="shared" ref="A146:A209" ca="1" si="80">PROPER(CHOOSE((MONTH($E$5)-1+G146)-INT((MONTH($E$5)-2+G146)/12)*12,"Januar","Februar","Mars","April","Mai","Juni","Juli","August","September","Oktober","November","Desember")) &amp; " " &amp; TEXT(YEAR($E$5) + INT((MONTH($E$5)-2+G146)/12),0)</f>
        <v>September 2035</v>
      </c>
      <c r="B146" s="191">
        <v>0</v>
      </c>
      <c r="C146" s="269">
        <f t="shared" ca="1" si="61"/>
        <v>5.4899999999999997E-2</v>
      </c>
      <c r="D146" s="173" t="str">
        <f t="shared" ca="1" si="62"/>
        <v/>
      </c>
      <c r="E146" s="174" t="str">
        <f t="shared" ca="1" si="63"/>
        <v/>
      </c>
      <c r="F146" s="175">
        <f t="shared" ca="1" si="64"/>
        <v>49</v>
      </c>
      <c r="G146" s="10">
        <v>129</v>
      </c>
      <c r="H146" s="176">
        <f t="shared" ca="1" si="65"/>
        <v>184</v>
      </c>
      <c r="I146" s="12">
        <f t="shared" ca="1" si="66"/>
        <v>15111.254712179474</v>
      </c>
      <c r="J146" s="12">
        <f t="shared" ref="J146:J209" ca="1" si="81">IF(AND(H146&lt;=0,ROUND(L145,0)&lt;=0),0, L145*INDIRECT(ADDRESS(ROW(),t2kRP))/12)</f>
        <v>6906.6425326923281</v>
      </c>
      <c r="K146" s="177">
        <f t="shared" ref="K146:K209" ca="1" si="82">IF(INDIRECT(ADDRESS(ROW(),t2kUAvd))="x", 0, I146-J146)</f>
        <v>8204.6121794871469</v>
      </c>
      <c r="L146" s="177">
        <f t="shared" ref="L146:L209" ca="1" si="83">IF(ABS(L145-ROUND(INDIRECT(ADDRESS(ROW(),t2kTnb)),0)-K146)&lt;0.5, 0, L145-INDIRECT(ADDRESS(ROW(),t2kTnb))-K146)</f>
        <v>1501444.0288461584</v>
      </c>
      <c r="M146" s="11">
        <f t="shared" ref="M146:M209" ca="1" si="84">Y146-J146</f>
        <v>-1.9099388737231493E-11</v>
      </c>
      <c r="N146" s="12">
        <f ca="1">IF(Y146=0, 0, ROUND(SUM(Y$17:Y146)-SUM(J$17:J146),0))</f>
        <v>0</v>
      </c>
      <c r="O146" s="12" t="str">
        <f t="shared" ref="O146:O209" ca="1" si="85">IF(OR(ROUND(Z146,0)&lt;=0, AND(ROUND(H146,0)&lt;=0,ROUND(L145,0)&lt;=0)), "",IF(ROUNDDOWN(Z145-L145,-(LEN(TEXT(INT(ABS(Z145-L145)),0))-2))=ROUNDDOWN(Z146-L146,-(LEN(TEXT(INT(ABS(Z146-L146)),0))-2)),"", ROUNDDOWN(Z146-L146,-(LEN(TEXT(INT(ABS(Z146-L146)),0))-2))))</f>
        <v/>
      </c>
      <c r="P146" s="12" t="str">
        <f t="shared" ref="P146:P209" ca="1" si="86">IF(INDIRECT(ADDRESS(ROW(),t2kTakst))&lt;=L146, "",IF(ROUNDDOWN(INDIRECT(ADDRESS(ROW()-1,t2kTakst))-L145,-4)=ROUNDDOWN(INDIRECT(ADDRESS(ROW(),t2kTakst))-L146,-4),"", ROUNDDOWN(INDIRECT(ADDRESS(ROW(),t2kTakst))-L146,-4)))</f>
        <v/>
      </c>
      <c r="Q146" s="178">
        <f t="shared" ca="1" si="78"/>
        <v>5000000</v>
      </c>
      <c r="R146" s="178">
        <f t="shared" ca="1" si="78"/>
        <v>0</v>
      </c>
      <c r="S146" s="178">
        <f t="shared" ca="1" si="78"/>
        <v>358488</v>
      </c>
      <c r="T146" s="178">
        <f t="shared" ca="1" si="78"/>
        <v>628000</v>
      </c>
      <c r="U146" s="179" t="str">
        <f t="shared" ref="U146:U209" ca="1" si="87">IF(AND(OR(AND(ISNUMBER(INDIRECT(ADDRESS(ROW()-1, t2kGjeldsgrad))), SUM(INDIRECT(ADDRESS(ROW()-1, t2kGjeldsgrad))) &gt; $P$10), NOT(ISNUMBER(INDIRECT(ADDRESS(ROW()-1, t2kGjeldsgrad))))), ISNUMBER($V146), ISNUMBER($P$10), SUM($V146) &lt;= SUM($P$10)), ROW(), "")</f>
        <v/>
      </c>
      <c r="V146" s="180">
        <f t="shared" ca="1" si="79"/>
        <v>2.9699999999999998</v>
      </c>
      <c r="W146" s="181">
        <f t="shared" ca="1" si="67"/>
        <v>184</v>
      </c>
      <c r="X146" s="177">
        <f t="shared" ref="X146:X209" ca="1" si="88">IF(AND(W146&lt;=0,ROUND(Z145,0)&lt;=0),0,IF(LOWER(LEFT($E$2,1))="s", IF($E$3/ROUND($E$4*12,0)+Y146&gt;Z145+Y146, Z145+Y146, $E$3/ROUND($E$4*12,0)+Y146),IF(ABS(PMT(INDIRECT(ADDRESS(ROW(),t2kRP))/12,W146,Z145)) &gt;Z145+Y146, Z145+Y146, ABS(PMT(INDIRECT(ADDRESS(ROW(),t2kRP))/12,W146,Z145)))))</f>
        <v>15111.254712179489</v>
      </c>
      <c r="Y146" s="12">
        <f t="shared" ref="Y146:Y209" ca="1" si="89">IF(AND(W146&lt;=0,ROUND(Z145,0)&lt;=0),0, Z145*INDIRECT(ADDRESS(ROW(),t2kRP))/12)</f>
        <v>6906.642532692309</v>
      </c>
      <c r="Z146" s="182">
        <f t="shared" ref="Z146:Z209" ca="1" si="90">IF(ABS(Z145+Y146-X146)&lt;0.5,0,Z145+Y146-X146)</f>
        <v>1501444.0288461542</v>
      </c>
      <c r="AA146" s="271">
        <f t="shared" ca="1" si="68"/>
        <v>0.22</v>
      </c>
      <c r="AB146" s="12">
        <f t="shared" ref="AB146:AB209" ca="1" si="91">INDIRECT(ADDRESS(ROW(),t2kTnb))+($AI146+$J146)*(1-IF(LOWER(LEFT($P$3,1))="j", INDIRECT(ADDRESS(ROW(), t2kFradragPst)), 0))+$K146</f>
        <v>13630.013354987164</v>
      </c>
      <c r="AC146" s="12">
        <f t="shared" ref="AC146:AC209" ca="1" si="92">($AJ146+$Y146)*(1-IF(LOWER(LEFT($P$3,1))="j", INDIRECT(ADDRESS(ROW(), t2kFradragPst)), 0))+($X146-$Y146)</f>
        <v>13630.013354987181</v>
      </c>
      <c r="AD146" s="199"/>
      <c r="AE146" s="273">
        <f t="shared" ref="AE146:AE209" ca="1" si="93">IF(OR(SUM(INDIRECT(ADDRESS(ROW()-1,t2kKPI)))=0,SUM(INDIRECT(ADDRESS(ROW(),t2kKPI)))=0), -((-$R$4+1)^(1/12)-1), (INDIRECT(ADDRESS(ROW(),t2kKPI))-INDIRECT(ADDRESS(ROW()-1,t2kKPI)))/INDIRECT(ADDRESS(ROW()-1,t2kKPI)))</f>
        <v>1.6821425527395739E-3</v>
      </c>
      <c r="AF146" s="184">
        <f t="shared" ref="AF146:AF209" ca="1" si="94">IF(G146-$P$4=0,1,IF(G146-$P$4&lt;0,AF147/(1-AE147),AF145*(1-AE146)))</f>
        <v>0.80614186183765946</v>
      </c>
      <c r="AG146" s="12">
        <f t="shared" ref="AG146:AG209" ca="1" si="95">$AF146*$AB146</f>
        <v>10987.724342861517</v>
      </c>
      <c r="AH146" s="12">
        <f t="shared" ref="AH146:AH209" ca="1" si="96">$AF146*$AC146</f>
        <v>10987.724342861529</v>
      </c>
      <c r="AI146" s="185">
        <f t="shared" ref="AI146:AI209" ca="1" si="97">IF(AND(H146&lt;=0,ROUND(L145,0)&lt;=0), 0, INDIRECT(ADDRESS(ROW(),t2kTG)))</f>
        <v>49</v>
      </c>
      <c r="AJ146" s="177">
        <f t="shared" ref="AJ146:AJ209" ca="1" si="98">IF(AND(W146&lt;=0,ROUND(Z145,0)&lt;=0), 0, INDIRECT(ADDRESS(ROW(),t2kTG)))</f>
        <v>49</v>
      </c>
      <c r="AK146" s="12">
        <f t="shared" ref="AK146:AK209" ca="1" si="99">-(INDIRECT(ADDRESS(ROW(),t2kTnb))+AI146+J146+K146)</f>
        <v>-15160.254712179474</v>
      </c>
      <c r="AL146" s="185">
        <f t="shared" ca="1" si="69"/>
        <v>15111.254712179474</v>
      </c>
      <c r="AM146" s="177">
        <f t="shared" ca="1" si="70"/>
        <v>15148.790812900628</v>
      </c>
      <c r="AN146" s="177">
        <f t="shared" ca="1" si="71"/>
        <v>12154.493943385392</v>
      </c>
      <c r="AO146" s="196">
        <f t="shared" ca="1" si="72"/>
        <v>184</v>
      </c>
      <c r="AP146" s="196">
        <f t="shared" ca="1" si="73"/>
        <v>134</v>
      </c>
      <c r="AQ146" s="177">
        <f t="shared" ca="1" si="74"/>
        <v>0</v>
      </c>
      <c r="AR146" s="177">
        <f t="shared" ca="1" si="75"/>
        <v>37.536100721154071</v>
      </c>
      <c r="AS146" s="189"/>
      <c r="AT146" s="190"/>
      <c r="AU146" s="190"/>
    </row>
    <row r="147" spans="1:47" x14ac:dyDescent="0.6">
      <c r="A147" s="152" t="str">
        <f t="shared" ca="1" si="80"/>
        <v>Oktober 2035</v>
      </c>
      <c r="B147" s="191">
        <v>0</v>
      </c>
      <c r="C147" s="270">
        <f t="shared" ref="C147:C210" ca="1" si="100">IF(AND(LOWER(LEFT($E$10,1))="j", INDIRECT(ADDRESS(ROW(),t2kTNr))=t2vStdRTNr), t2xStdRPst, OFFSET(C147,-1,0,1,1))</f>
        <v>5.4899999999999997E-2</v>
      </c>
      <c r="D147" s="192" t="str">
        <f t="shared" ref="D147:D210" ca="1" si="101">IF(AND(LOWER(LEFT($E$8, 1))&lt;&gt;"n", INDIRECT(ADDRESS(ROW()-1,t2kUAvd))="x"),-1/12,"")</f>
        <v/>
      </c>
      <c r="E147" s="193" t="str">
        <f t="shared" ref="E147:E210" ca="1" si="102">IF(AND(LOWER(OFFSET(E147,-1,0,1,1))="x", INDIRECT(ADDRESS(ROW(),t2kTI1))&gt;1),OFFSET(E147,-1,0,1,1),"")</f>
        <v/>
      </c>
      <c r="F147" s="194">
        <f t="shared" ref="F147:F210" ca="1" si="103">OFFSET(F147,-1,0,1,1)</f>
        <v>49</v>
      </c>
      <c r="G147" s="14">
        <v>130</v>
      </c>
      <c r="H147" s="157">
        <f t="shared" ref="H147:H210" ca="1" si="104">IF(OR(ROUND(H146,0) + ROUND(SUM(INDIRECT(ADDRESS(ROW(),t2kNTid)))*12,0) &lt;= 0,ROUND(L146,0)&lt;=0),0, IF(LOWER(LEFT($E$2,1))="s", AO147, AP147))</f>
        <v>183</v>
      </c>
      <c r="I147" s="16">
        <f t="shared" ref="I147:I210" ca="1" si="105">IF(AND(H147&lt;=0,ROUND(L146,0)&lt;=0),0,IF(I146&gt;=L146+J147,L146+J147,IF(LOWER(LEFT($E$2,1))="s", AL147, AM147)))</f>
        <v>15073.71861145832</v>
      </c>
      <c r="J147" s="16">
        <f t="shared" ca="1" si="81"/>
        <v>6869.1064319711741</v>
      </c>
      <c r="K147" s="158">
        <f t="shared" ca="1" si="82"/>
        <v>8204.6121794871469</v>
      </c>
      <c r="L147" s="158">
        <f t="shared" ca="1" si="83"/>
        <v>1493239.4166666712</v>
      </c>
      <c r="M147" s="15">
        <f t="shared" ca="1" si="84"/>
        <v>-1.9099388737231493E-11</v>
      </c>
      <c r="N147" s="16">
        <f ca="1">IF(Y147=0, 0, ROUND(SUM(Y$17:Y147)-SUM(J$17:J147),0))</f>
        <v>0</v>
      </c>
      <c r="O147" s="16" t="str">
        <f t="shared" ca="1" si="85"/>
        <v/>
      </c>
      <c r="P147" s="16">
        <f t="shared" ca="1" si="86"/>
        <v>3500000</v>
      </c>
      <c r="Q147" s="160">
        <f t="shared" ca="1" si="78"/>
        <v>5000000</v>
      </c>
      <c r="R147" s="160">
        <f t="shared" ca="1" si="78"/>
        <v>0</v>
      </c>
      <c r="S147" s="160">
        <f t="shared" ca="1" si="78"/>
        <v>358488</v>
      </c>
      <c r="T147" s="160">
        <f t="shared" ca="1" si="78"/>
        <v>628000</v>
      </c>
      <c r="U147" s="161" t="str">
        <f t="shared" ca="1" si="87"/>
        <v/>
      </c>
      <c r="V147" s="162">
        <f t="shared" ca="1" si="79"/>
        <v>2.9499999999999997</v>
      </c>
      <c r="W147" s="195">
        <f t="shared" ref="W147:W210" ca="1" si="106">IF(OR(ROUNDUP(W146,0) &lt;= 0, ROUND(Z146,0) &lt;= 0),0,ROUNDUP(W146,0)-1)</f>
        <v>183</v>
      </c>
      <c r="X147" s="158">
        <f t="shared" ca="1" si="88"/>
        <v>15073.718611458335</v>
      </c>
      <c r="Y147" s="16">
        <f t="shared" ca="1" si="89"/>
        <v>6869.106431971155</v>
      </c>
      <c r="Z147" s="164">
        <f t="shared" ca="1" si="90"/>
        <v>1493239.416666667</v>
      </c>
      <c r="AA147" s="272">
        <f t="shared" ref="AA147:AA210" ca="1" si="107">OFFSET(AA147,-1,0,1,1)</f>
        <v>0.22</v>
      </c>
      <c r="AB147" s="16">
        <f t="shared" ca="1" si="91"/>
        <v>13600.735196424663</v>
      </c>
      <c r="AC147" s="16">
        <f t="shared" ca="1" si="92"/>
        <v>13600.735196424681</v>
      </c>
      <c r="AD147" s="197"/>
      <c r="AE147" s="274">
        <f t="shared" ca="1" si="93"/>
        <v>1.6821425527395739E-3</v>
      </c>
      <c r="AF147" s="166">
        <f t="shared" ca="1" si="94"/>
        <v>0.80478581630831758</v>
      </c>
      <c r="AG147" s="16">
        <f t="shared" ca="1" si="95"/>
        <v>10945.678777447889</v>
      </c>
      <c r="AH147" s="16">
        <f t="shared" ca="1" si="96"/>
        <v>10945.678777447903</v>
      </c>
      <c r="AI147" s="168">
        <f t="shared" ca="1" si="97"/>
        <v>49</v>
      </c>
      <c r="AJ147" s="158">
        <f t="shared" ca="1" si="98"/>
        <v>49</v>
      </c>
      <c r="AK147" s="16">
        <f t="shared" ca="1" si="99"/>
        <v>-15122.71861145832</v>
      </c>
      <c r="AL147" s="168">
        <f t="shared" ref="AL147:AL210" ca="1" si="108">IF(OR(SUM(INDIRECT(ADDRESS(ROW(), t2kNTid))) &lt;&gt; 0, AND(LOWER(LEFT($E$6, 1)) &lt;&gt; "j", INDIRECT(ADDRESS(ROW()-1, t2kTnb)) &lt;&gt; 0)), L146 / H147 + J147, (I146 - J146) + J147)</f>
        <v>15073.71861145832</v>
      </c>
      <c r="AM147" s="158">
        <f t="shared" ref="AM147:AM210" ca="1" si="109">IF(AND(INDIRECT(ADDRESS(ROW(), t2kRP)) = INDIRECT(ADDRESS(ROW()-1, t2kRP)), SUM(INDIRECT(ADDRESS(ROW(), t2kNTid))) = 0, OR(LOWER(LEFT($E$6, 1)) = "j", INDIRECT(ADDRESS(ROW()-1, t2kTnb)) = 0)), I146, ABS(AN147))</f>
        <v>15111.254712179474</v>
      </c>
      <c r="AN147" s="158">
        <f t="shared" ref="AN147:AN210" ca="1" si="110">-PMT(INDIRECT(ADDRESS(ROW(), t2kRP)) / 12, IF(SUM(INDIRECT(ADDRESS(ROW(), t2kNTid))) &lt;&gt; 0, H147, H146 - 1), IF(OR(SUM(INDIRECT(ADDRESS(ROW(), t2kNTid))) &lt;&gt; 0, AND(LOWER(LEFT($E$6, 1)) &lt;&gt; "j", INDIRECT(ADDRESS(ROW()-1, t2kTnb)) &lt;&gt; 0)), L146, L146 + INDIRECT(ADDRESS(ROW()-1, t2kTnb))))</f>
        <v>12130.605408425539</v>
      </c>
      <c r="AO147" s="169">
        <f t="shared" ref="AO147:AO210" ca="1" si="111">IF(LOWER(LEFT($E$6, 1)) = "j", ROUNDUP(ROUND(L146 / (I146 - J146), 6),0), IF(LOWER(LEFT(INDIRECT(ADDRESS(ROW()-1, t2kUAvd)), 1)) = "x", H146, H146 - 1)) + ROUND(SUM(INDIRECT(ADDRESS(ROW(), t2kNTid))) * 12, 0)</f>
        <v>183</v>
      </c>
      <c r="AP147" s="169">
        <f t="shared" ref="AP147:AP210" ca="1" si="112">IF(LOWER(LEFT($E$6, 1)) = "j", ROUNDUP(ROUND(NPER(INDIRECT(ADDRESS(ROW()-1, t2kRP)) / 12, -ABS(I146), L146), 6),0), IF(LOWER(LEFT(INDIRECT(ADDRESS(ROW()-1, t2kUAvd)), 1)) = "x", H146, H146 - 1)) + ROUND(SUM(INDIRECT(ADDRESS(ROW(), t2kNTid))) * 12, 0)</f>
        <v>133</v>
      </c>
      <c r="AQ147" s="158">
        <f t="shared" ref="AQ147:AQ210" ca="1" si="113">IF(ROUND(INDIRECT(ADDRESS(ROW()-1,t2kS1)),0) &lt;= 0,0,IF(INDIRECT(ADDRESS(ROW()-1,t2kS1)) &lt;= INDIRECT(ADDRESS(ROW()-1,t2kTnb)) + INDIRECT(ADDRESS(ROW(),t2kAvd1)),INDIRECT(ADDRESS(ROW()-1,t2kS1)) - INDIRECT(ADDRESS(ROW(),t2kAvd1)),INDIRECT(ADDRESS(ROW()-1,t2kTnb))))</f>
        <v>0</v>
      </c>
      <c r="AR147" s="158">
        <f t="shared" ref="AR147:AR210" ca="1" si="114">IF(OR((INDIRECT(ADDRESS(ROW()-1,t2kTnb))+INDIRECT(ADDRESS(ROW()-1,t2kTG))+INDIRECT(ADDRESS(ROW()-1,t2kR1))+INDIRECT(ADDRESS(ROW()-1,t2kAvd1))) &lt;= (INDIRECT(ADDRESS(ROW(),t2kTG))+INDIRECT(ADDRESS(ROW(),t2kR1))+INDIRECT(ADDRESS(ROW(),t2kAvd1))),ROUND(INDIRECT(ADDRESS(ROW()-1,t2kS1)),0) &lt;= 0),0,IF(AND(INDIRECT(ADDRESS(ROW()-1,t2kS1)) - INDIRECT(ADDRESS(ROW(),t2kAvd1)) &gt; -0.5,(INDIRECT(ADDRESS(ROW()-1,t2kTnb))+INDIRECT(ADDRESS(ROW()-1,t2kTG))+INDIRECT(ADDRESS(ROW()-1,t2kR1))+INDIRECT(ADDRESS(ROW()-1,t2kAvd1))) &gt;= (INDIRECT(ADDRESS(ROW()-1,t2kS1))+INDIRECT(ADDRESS(ROW(),t2kR1))+INDIRECT(ADDRESS(ROW(),t2kTG)))),INDIRECT(ADDRESS(ROW()-1,t2kS1)) - INDIRECT(ADDRESS(ROW(),t2kAvd1)),(INDIRECT(ADDRESS(ROW()-1,t2kTnb))+INDIRECT(ADDRESS(ROW()-1,t2kTG))+INDIRECT(ADDRESS(ROW()-1,t2kR1))+INDIRECT(ADDRESS(ROW()-1,t2kAvd1))) - (INDIRECT(ADDRESS(ROW(),t2kTG))+INDIRECT(ADDRESS(ROW(),t2kR1))+INDIRECT(ADDRESS(ROW(),t2kAvd1)))))</f>
        <v>37.536100721154071</v>
      </c>
      <c r="AS147" s="170"/>
      <c r="AT147" s="159"/>
      <c r="AU147" s="159"/>
    </row>
    <row r="148" spans="1:47" x14ac:dyDescent="0.6">
      <c r="A148" s="171" t="str">
        <f t="shared" ca="1" si="80"/>
        <v>November 2035</v>
      </c>
      <c r="B148" s="191">
        <v>0</v>
      </c>
      <c r="C148" s="269">
        <f t="shared" ca="1" si="100"/>
        <v>5.4899999999999997E-2</v>
      </c>
      <c r="D148" s="173" t="str">
        <f t="shared" ca="1" si="101"/>
        <v/>
      </c>
      <c r="E148" s="174" t="str">
        <f t="shared" ca="1" si="102"/>
        <v/>
      </c>
      <c r="F148" s="175">
        <f t="shared" ca="1" si="103"/>
        <v>49</v>
      </c>
      <c r="G148" s="10">
        <v>131</v>
      </c>
      <c r="H148" s="176">
        <f t="shared" ca="1" si="104"/>
        <v>182</v>
      </c>
      <c r="I148" s="12">
        <f t="shared" ca="1" si="105"/>
        <v>15036.182510737166</v>
      </c>
      <c r="J148" s="12">
        <f t="shared" ca="1" si="81"/>
        <v>6831.57033125002</v>
      </c>
      <c r="K148" s="177">
        <f t="shared" ca="1" si="82"/>
        <v>8204.6121794871469</v>
      </c>
      <c r="L148" s="177">
        <f t="shared" ca="1" si="83"/>
        <v>1485034.8044871839</v>
      </c>
      <c r="M148" s="11">
        <f t="shared" ca="1" si="84"/>
        <v>-1.9099388737231493E-11</v>
      </c>
      <c r="N148" s="12">
        <f ca="1">IF(Y148=0, 0, ROUND(SUM(Y$17:Y148)-SUM(J$17:J148),0))</f>
        <v>0</v>
      </c>
      <c r="O148" s="12" t="str">
        <f t="shared" ca="1" si="85"/>
        <v/>
      </c>
      <c r="P148" s="12">
        <f t="shared" ca="1" si="86"/>
        <v>3510000</v>
      </c>
      <c r="Q148" s="178">
        <f t="shared" ca="1" si="78"/>
        <v>5000000</v>
      </c>
      <c r="R148" s="178">
        <f t="shared" ca="1" si="78"/>
        <v>0</v>
      </c>
      <c r="S148" s="178">
        <f t="shared" ca="1" si="78"/>
        <v>358488</v>
      </c>
      <c r="T148" s="178">
        <f t="shared" ca="1" si="78"/>
        <v>628000</v>
      </c>
      <c r="U148" s="179" t="str">
        <f t="shared" ca="1" si="87"/>
        <v/>
      </c>
      <c r="V148" s="180">
        <f t="shared" ca="1" si="79"/>
        <v>2.94</v>
      </c>
      <c r="W148" s="181">
        <f t="shared" ca="1" si="106"/>
        <v>182</v>
      </c>
      <c r="X148" s="177">
        <f t="shared" ca="1" si="88"/>
        <v>15036.182510737181</v>
      </c>
      <c r="Y148" s="12">
        <f t="shared" ca="1" si="89"/>
        <v>6831.5703312500009</v>
      </c>
      <c r="Z148" s="182">
        <f t="shared" ca="1" si="90"/>
        <v>1485034.80448718</v>
      </c>
      <c r="AA148" s="271">
        <f t="shared" ca="1" si="107"/>
        <v>0.22</v>
      </c>
      <c r="AB148" s="12">
        <f t="shared" ca="1" si="91"/>
        <v>13571.457037862163</v>
      </c>
      <c r="AC148" s="12">
        <f t="shared" ca="1" si="92"/>
        <v>13571.457037862179</v>
      </c>
      <c r="AD148" s="199"/>
      <c r="AE148" s="273">
        <f t="shared" ca="1" si="93"/>
        <v>1.6821425527395739E-3</v>
      </c>
      <c r="AF148" s="184">
        <f t="shared" ca="1" si="94"/>
        <v>0.80343205184086408</v>
      </c>
      <c r="AG148" s="12">
        <f t="shared" ca="1" si="95"/>
        <v>10903.743574399732</v>
      </c>
      <c r="AH148" s="12">
        <f t="shared" ca="1" si="96"/>
        <v>10903.743574399747</v>
      </c>
      <c r="AI148" s="185">
        <f t="shared" ca="1" si="97"/>
        <v>49</v>
      </c>
      <c r="AJ148" s="177">
        <f t="shared" ca="1" si="98"/>
        <v>49</v>
      </c>
      <c r="AK148" s="12">
        <f t="shared" ca="1" si="99"/>
        <v>-15085.182510737166</v>
      </c>
      <c r="AL148" s="185">
        <f t="shared" ca="1" si="108"/>
        <v>15036.182510737166</v>
      </c>
      <c r="AM148" s="177">
        <f t="shared" ca="1" si="109"/>
        <v>15073.71861145832</v>
      </c>
      <c r="AN148" s="177">
        <f t="shared" ca="1" si="110"/>
        <v>12106.743517095054</v>
      </c>
      <c r="AO148" s="196">
        <f t="shared" ca="1" si="111"/>
        <v>182</v>
      </c>
      <c r="AP148" s="196">
        <f t="shared" ca="1" si="112"/>
        <v>133</v>
      </c>
      <c r="AQ148" s="177">
        <f t="shared" ca="1" si="113"/>
        <v>0</v>
      </c>
      <c r="AR148" s="177">
        <f t="shared" ca="1" si="114"/>
        <v>37.536100721154071</v>
      </c>
      <c r="AS148" s="189"/>
      <c r="AT148" s="190"/>
      <c r="AU148" s="190"/>
    </row>
    <row r="149" spans="1:47" x14ac:dyDescent="0.6">
      <c r="A149" s="152" t="str">
        <f t="shared" ca="1" si="80"/>
        <v>Desember 2035</v>
      </c>
      <c r="B149" s="191">
        <v>0</v>
      </c>
      <c r="C149" s="270">
        <f t="shared" ca="1" si="100"/>
        <v>5.4899999999999997E-2</v>
      </c>
      <c r="D149" s="192" t="str">
        <f t="shared" ca="1" si="101"/>
        <v/>
      </c>
      <c r="E149" s="193" t="str">
        <f t="shared" ca="1" si="102"/>
        <v/>
      </c>
      <c r="F149" s="194">
        <f t="shared" ca="1" si="103"/>
        <v>49</v>
      </c>
      <c r="G149" s="14">
        <v>132</v>
      </c>
      <c r="H149" s="157">
        <f t="shared" ca="1" si="104"/>
        <v>181</v>
      </c>
      <c r="I149" s="16">
        <f t="shared" ca="1" si="105"/>
        <v>14998.646410016012</v>
      </c>
      <c r="J149" s="16">
        <f t="shared" ca="1" si="81"/>
        <v>6794.0342305288659</v>
      </c>
      <c r="K149" s="158">
        <f t="shared" ca="1" si="82"/>
        <v>8204.6121794871469</v>
      </c>
      <c r="L149" s="158">
        <f t="shared" ca="1" si="83"/>
        <v>1476830.1923076967</v>
      </c>
      <c r="M149" s="15">
        <f t="shared" ca="1" si="84"/>
        <v>-1.8189894035458565E-11</v>
      </c>
      <c r="N149" s="16">
        <f ca="1">IF(Y149=0, 0, ROUND(SUM(Y$17:Y149)-SUM(J$17:J149),0))</f>
        <v>0</v>
      </c>
      <c r="O149" s="16" t="str">
        <f t="shared" ca="1" si="85"/>
        <v/>
      </c>
      <c r="P149" s="16">
        <f t="shared" ca="1" si="86"/>
        <v>3520000</v>
      </c>
      <c r="Q149" s="160">
        <f t="shared" ca="1" si="78"/>
        <v>5000000</v>
      </c>
      <c r="R149" s="160">
        <f t="shared" ca="1" si="78"/>
        <v>0</v>
      </c>
      <c r="S149" s="160">
        <f t="shared" ca="1" si="78"/>
        <v>358488</v>
      </c>
      <c r="T149" s="160">
        <f t="shared" ca="1" si="78"/>
        <v>628000</v>
      </c>
      <c r="U149" s="161" t="str">
        <f t="shared" ca="1" si="87"/>
        <v/>
      </c>
      <c r="V149" s="162">
        <f t="shared" ca="1" si="79"/>
        <v>2.9299999999999997</v>
      </c>
      <c r="W149" s="195">
        <f t="shared" ca="1" si="106"/>
        <v>181</v>
      </c>
      <c r="X149" s="158">
        <f t="shared" ca="1" si="88"/>
        <v>14998.646410016026</v>
      </c>
      <c r="Y149" s="16">
        <f t="shared" ca="1" si="89"/>
        <v>6794.0342305288477</v>
      </c>
      <c r="Z149" s="164">
        <f t="shared" ca="1" si="90"/>
        <v>1476830.1923076927</v>
      </c>
      <c r="AA149" s="272">
        <f t="shared" ca="1" si="107"/>
        <v>0.22</v>
      </c>
      <c r="AB149" s="16">
        <f t="shared" ca="1" si="91"/>
        <v>13542.178879299663</v>
      </c>
      <c r="AC149" s="16">
        <f t="shared" ca="1" si="92"/>
        <v>13542.178879299681</v>
      </c>
      <c r="AD149" s="197"/>
      <c r="AE149" s="274">
        <f t="shared" ca="1" si="93"/>
        <v>1.6821425527395739E-3</v>
      </c>
      <c r="AF149" s="166">
        <f t="shared" ca="1" si="94"/>
        <v>0.80208056459822774</v>
      </c>
      <c r="AG149" s="16">
        <f t="shared" ca="1" si="95"/>
        <v>10861.918481398869</v>
      </c>
      <c r="AH149" s="16">
        <f t="shared" ca="1" si="96"/>
        <v>10861.918481398883</v>
      </c>
      <c r="AI149" s="168">
        <f t="shared" ca="1" si="97"/>
        <v>49</v>
      </c>
      <c r="AJ149" s="158">
        <f t="shared" ca="1" si="98"/>
        <v>49</v>
      </c>
      <c r="AK149" s="16">
        <f t="shared" ca="1" si="99"/>
        <v>-15047.646410016012</v>
      </c>
      <c r="AL149" s="168">
        <f t="shared" ca="1" si="108"/>
        <v>14998.646410016012</v>
      </c>
      <c r="AM149" s="158">
        <f t="shared" ca="1" si="109"/>
        <v>15036.182510737166</v>
      </c>
      <c r="AN149" s="158">
        <f t="shared" ca="1" si="110"/>
        <v>12082.908289400311</v>
      </c>
      <c r="AO149" s="169">
        <f t="shared" ca="1" si="111"/>
        <v>181</v>
      </c>
      <c r="AP149" s="169">
        <f t="shared" ca="1" si="112"/>
        <v>132</v>
      </c>
      <c r="AQ149" s="158">
        <f t="shared" ca="1" si="113"/>
        <v>0</v>
      </c>
      <c r="AR149" s="158">
        <f t="shared" ca="1" si="114"/>
        <v>37.536100721154071</v>
      </c>
      <c r="AS149" s="170"/>
      <c r="AT149" s="159"/>
      <c r="AU149" s="159"/>
    </row>
    <row r="150" spans="1:47" x14ac:dyDescent="0.6">
      <c r="A150" s="171" t="str">
        <f t="shared" ca="1" si="80"/>
        <v>Januar 2036</v>
      </c>
      <c r="B150" s="191">
        <v>0</v>
      </c>
      <c r="C150" s="269">
        <f t="shared" ca="1" si="100"/>
        <v>5.4899999999999997E-2</v>
      </c>
      <c r="D150" s="173" t="str">
        <f t="shared" ca="1" si="101"/>
        <v/>
      </c>
      <c r="E150" s="174" t="str">
        <f t="shared" ca="1" si="102"/>
        <v/>
      </c>
      <c r="F150" s="175">
        <f t="shared" ca="1" si="103"/>
        <v>49</v>
      </c>
      <c r="G150" s="10">
        <v>133</v>
      </c>
      <c r="H150" s="176">
        <f t="shared" ca="1" si="104"/>
        <v>180</v>
      </c>
      <c r="I150" s="12">
        <f t="shared" ca="1" si="105"/>
        <v>14961.110309294858</v>
      </c>
      <c r="J150" s="12">
        <f t="shared" ca="1" si="81"/>
        <v>6756.4981298077118</v>
      </c>
      <c r="K150" s="177">
        <f t="shared" ca="1" si="82"/>
        <v>8204.6121794871469</v>
      </c>
      <c r="L150" s="177">
        <f t="shared" ca="1" si="83"/>
        <v>1468625.5801282094</v>
      </c>
      <c r="M150" s="11">
        <f t="shared" ca="1" si="84"/>
        <v>-1.8189894035458565E-11</v>
      </c>
      <c r="N150" s="12">
        <f ca="1">IF(Y150=0, 0, ROUND(SUM(Y$17:Y150)-SUM(J$17:J150),0))</f>
        <v>0</v>
      </c>
      <c r="O150" s="12" t="str">
        <f t="shared" ca="1" si="85"/>
        <v/>
      </c>
      <c r="P150" s="12">
        <f t="shared" ca="1" si="86"/>
        <v>3530000</v>
      </c>
      <c r="Q150" s="178">
        <f t="shared" ca="1" si="78"/>
        <v>5000000</v>
      </c>
      <c r="R150" s="178">
        <f t="shared" ca="1" si="78"/>
        <v>0</v>
      </c>
      <c r="S150" s="178">
        <f t="shared" ca="1" si="78"/>
        <v>358488</v>
      </c>
      <c r="T150" s="178">
        <f t="shared" ca="1" si="78"/>
        <v>628000</v>
      </c>
      <c r="U150" s="179" t="str">
        <f t="shared" ca="1" si="87"/>
        <v/>
      </c>
      <c r="V150" s="180">
        <f t="shared" ca="1" si="79"/>
        <v>2.9099999999999997</v>
      </c>
      <c r="W150" s="181">
        <f t="shared" ca="1" si="106"/>
        <v>180</v>
      </c>
      <c r="X150" s="177">
        <f t="shared" ca="1" si="88"/>
        <v>14961.110309294872</v>
      </c>
      <c r="Y150" s="12">
        <f t="shared" ca="1" si="89"/>
        <v>6756.4981298076937</v>
      </c>
      <c r="Z150" s="182">
        <f t="shared" ca="1" si="90"/>
        <v>1468625.5801282055</v>
      </c>
      <c r="AA150" s="271">
        <f t="shared" ca="1" si="107"/>
        <v>0.22</v>
      </c>
      <c r="AB150" s="12">
        <f t="shared" ca="1" si="91"/>
        <v>13512.900720737161</v>
      </c>
      <c r="AC150" s="12">
        <f t="shared" ca="1" si="92"/>
        <v>13512.90072073718</v>
      </c>
      <c r="AD150" s="199"/>
      <c r="AE150" s="273">
        <f t="shared" ca="1" si="93"/>
        <v>1.6821425527395739E-3</v>
      </c>
      <c r="AF150" s="184">
        <f t="shared" ca="1" si="94"/>
        <v>0.80073135074979163</v>
      </c>
      <c r="AG150" s="12">
        <f t="shared" ca="1" si="95"/>
        <v>10820.203246663699</v>
      </c>
      <c r="AH150" s="12">
        <f t="shared" ca="1" si="96"/>
        <v>10820.203246663714</v>
      </c>
      <c r="AI150" s="185">
        <f t="shared" ca="1" si="97"/>
        <v>49</v>
      </c>
      <c r="AJ150" s="177">
        <f t="shared" ca="1" si="98"/>
        <v>49</v>
      </c>
      <c r="AK150" s="12">
        <f t="shared" ca="1" si="99"/>
        <v>-15010.110309294858</v>
      </c>
      <c r="AL150" s="185">
        <f t="shared" ca="1" si="108"/>
        <v>14961.110309294858</v>
      </c>
      <c r="AM150" s="177">
        <f t="shared" ca="1" si="109"/>
        <v>14998.646410016012</v>
      </c>
      <c r="AN150" s="177">
        <f t="shared" ca="1" si="110"/>
        <v>12059.099745255771</v>
      </c>
      <c r="AO150" s="196">
        <f t="shared" ca="1" si="111"/>
        <v>180</v>
      </c>
      <c r="AP150" s="196">
        <f t="shared" ca="1" si="112"/>
        <v>132</v>
      </c>
      <c r="AQ150" s="177">
        <f t="shared" ca="1" si="113"/>
        <v>0</v>
      </c>
      <c r="AR150" s="177">
        <f t="shared" ca="1" si="114"/>
        <v>37.536100721154071</v>
      </c>
      <c r="AS150" s="189"/>
      <c r="AT150" s="190"/>
      <c r="AU150" s="190"/>
    </row>
    <row r="151" spans="1:47" x14ac:dyDescent="0.6">
      <c r="A151" s="152" t="str">
        <f t="shared" ca="1" si="80"/>
        <v>Februar 2036</v>
      </c>
      <c r="B151" s="191">
        <v>0</v>
      </c>
      <c r="C151" s="270">
        <f t="shared" ca="1" si="100"/>
        <v>5.4899999999999997E-2</v>
      </c>
      <c r="D151" s="192" t="str">
        <f t="shared" ca="1" si="101"/>
        <v/>
      </c>
      <c r="E151" s="193" t="str">
        <f t="shared" ca="1" si="102"/>
        <v/>
      </c>
      <c r="F151" s="194">
        <f t="shared" ca="1" si="103"/>
        <v>49</v>
      </c>
      <c r="G151" s="14">
        <v>134</v>
      </c>
      <c r="H151" s="157">
        <f t="shared" ca="1" si="104"/>
        <v>179</v>
      </c>
      <c r="I151" s="16">
        <f t="shared" ca="1" si="105"/>
        <v>14923.574208573704</v>
      </c>
      <c r="J151" s="16">
        <f t="shared" ca="1" si="81"/>
        <v>6718.9620290865578</v>
      </c>
      <c r="K151" s="158">
        <f t="shared" ca="1" si="82"/>
        <v>8204.6121794871469</v>
      </c>
      <c r="L151" s="158">
        <f t="shared" ca="1" si="83"/>
        <v>1460420.9679487222</v>
      </c>
      <c r="M151" s="15">
        <f t="shared" ca="1" si="84"/>
        <v>-1.8189894035458565E-11</v>
      </c>
      <c r="N151" s="16">
        <f ca="1">IF(Y151=0, 0, ROUND(SUM(Y$17:Y151)-SUM(J$17:J151),0))</f>
        <v>0</v>
      </c>
      <c r="O151" s="16" t="str">
        <f t="shared" ca="1" si="85"/>
        <v/>
      </c>
      <c r="P151" s="16" t="str">
        <f t="shared" ca="1" si="86"/>
        <v/>
      </c>
      <c r="Q151" s="160">
        <f t="shared" ca="1" si="78"/>
        <v>5000000</v>
      </c>
      <c r="R151" s="160">
        <f t="shared" ca="1" si="78"/>
        <v>0</v>
      </c>
      <c r="S151" s="160">
        <f t="shared" ca="1" si="78"/>
        <v>358488</v>
      </c>
      <c r="T151" s="160">
        <f t="shared" ca="1" si="78"/>
        <v>628000</v>
      </c>
      <c r="U151" s="161" t="str">
        <f t="shared" ca="1" si="87"/>
        <v/>
      </c>
      <c r="V151" s="162">
        <f t="shared" ca="1" si="79"/>
        <v>2.9</v>
      </c>
      <c r="W151" s="195">
        <f t="shared" ca="1" si="106"/>
        <v>179</v>
      </c>
      <c r="X151" s="158">
        <f t="shared" ca="1" si="88"/>
        <v>14923.574208573718</v>
      </c>
      <c r="Y151" s="16">
        <f t="shared" ca="1" si="89"/>
        <v>6718.9620290865396</v>
      </c>
      <c r="Z151" s="164">
        <f t="shared" ca="1" si="90"/>
        <v>1460420.9679487182</v>
      </c>
      <c r="AA151" s="272">
        <f t="shared" ca="1" si="107"/>
        <v>0.22</v>
      </c>
      <c r="AB151" s="16">
        <f t="shared" ca="1" si="91"/>
        <v>13483.622562174663</v>
      </c>
      <c r="AC151" s="16">
        <f t="shared" ca="1" si="92"/>
        <v>13483.622562174682</v>
      </c>
      <c r="AD151" s="197"/>
      <c r="AE151" s="274">
        <f t="shared" ca="1" si="93"/>
        <v>1.6821425527395739E-3</v>
      </c>
      <c r="AF151" s="166">
        <f t="shared" ca="1" si="94"/>
        <v>0.79938440647138276</v>
      </c>
      <c r="AG151" s="16">
        <f t="shared" ca="1" si="95"/>
        <v>10778.597618948139</v>
      </c>
      <c r="AH151" s="16">
        <f t="shared" ca="1" si="96"/>
        <v>10778.597618948153</v>
      </c>
      <c r="AI151" s="168">
        <f t="shared" ca="1" si="97"/>
        <v>49</v>
      </c>
      <c r="AJ151" s="158">
        <f t="shared" ca="1" si="98"/>
        <v>49</v>
      </c>
      <c r="AK151" s="16">
        <f t="shared" ca="1" si="99"/>
        <v>-14972.574208573704</v>
      </c>
      <c r="AL151" s="168">
        <f t="shared" ca="1" si="108"/>
        <v>14923.574208573704</v>
      </c>
      <c r="AM151" s="158">
        <f t="shared" ca="1" si="109"/>
        <v>14961.110309294858</v>
      </c>
      <c r="AN151" s="158">
        <f t="shared" ca="1" si="110"/>
        <v>12035.317904483711</v>
      </c>
      <c r="AO151" s="169">
        <f t="shared" ca="1" si="111"/>
        <v>179</v>
      </c>
      <c r="AP151" s="169">
        <f t="shared" ca="1" si="112"/>
        <v>131</v>
      </c>
      <c r="AQ151" s="158">
        <f t="shared" ca="1" si="113"/>
        <v>0</v>
      </c>
      <c r="AR151" s="158">
        <f t="shared" ca="1" si="114"/>
        <v>37.536100721154071</v>
      </c>
      <c r="AS151" s="170"/>
      <c r="AT151" s="159"/>
      <c r="AU151" s="159"/>
    </row>
    <row r="152" spans="1:47" x14ac:dyDescent="0.6">
      <c r="A152" s="171" t="str">
        <f t="shared" ca="1" si="80"/>
        <v>Mars 2036</v>
      </c>
      <c r="B152" s="191">
        <v>0</v>
      </c>
      <c r="C152" s="269">
        <f t="shared" ca="1" si="100"/>
        <v>5.4899999999999997E-2</v>
      </c>
      <c r="D152" s="173" t="str">
        <f t="shared" ca="1" si="101"/>
        <v/>
      </c>
      <c r="E152" s="174" t="str">
        <f t="shared" ca="1" si="102"/>
        <v/>
      </c>
      <c r="F152" s="175">
        <f t="shared" ca="1" si="103"/>
        <v>49</v>
      </c>
      <c r="G152" s="10">
        <v>135</v>
      </c>
      <c r="H152" s="176">
        <f t="shared" ca="1" si="104"/>
        <v>178</v>
      </c>
      <c r="I152" s="12">
        <f t="shared" ca="1" si="105"/>
        <v>14886.03810785255</v>
      </c>
      <c r="J152" s="12">
        <f t="shared" ca="1" si="81"/>
        <v>6681.4259283654037</v>
      </c>
      <c r="K152" s="177">
        <f t="shared" ca="1" si="82"/>
        <v>8204.6121794871469</v>
      </c>
      <c r="L152" s="177">
        <f t="shared" ca="1" si="83"/>
        <v>1452216.3557692349</v>
      </c>
      <c r="M152" s="11">
        <f t="shared" ca="1" si="84"/>
        <v>-1.8189894035458565E-11</v>
      </c>
      <c r="N152" s="12">
        <f ca="1">IF(Y152=0, 0, ROUND(SUM(Y$17:Y152)-SUM(J$17:J152),0))</f>
        <v>0</v>
      </c>
      <c r="O152" s="12" t="str">
        <f t="shared" ca="1" si="85"/>
        <v/>
      </c>
      <c r="P152" s="12">
        <f t="shared" ca="1" si="86"/>
        <v>3540000</v>
      </c>
      <c r="Q152" s="178">
        <f t="shared" ca="1" si="78"/>
        <v>5000000</v>
      </c>
      <c r="R152" s="178">
        <f t="shared" ca="1" si="78"/>
        <v>0</v>
      </c>
      <c r="S152" s="178">
        <f t="shared" ca="1" si="78"/>
        <v>358488</v>
      </c>
      <c r="T152" s="178">
        <f t="shared" ca="1" si="78"/>
        <v>628000</v>
      </c>
      <c r="U152" s="179" t="str">
        <f t="shared" ca="1" si="87"/>
        <v/>
      </c>
      <c r="V152" s="180">
        <f t="shared" ca="1" si="79"/>
        <v>2.8899999999999997</v>
      </c>
      <c r="W152" s="181">
        <f t="shared" ca="1" si="106"/>
        <v>178</v>
      </c>
      <c r="X152" s="177">
        <f t="shared" ca="1" si="88"/>
        <v>14886.038107852564</v>
      </c>
      <c r="Y152" s="12">
        <f t="shared" ca="1" si="89"/>
        <v>6681.4259283653855</v>
      </c>
      <c r="Z152" s="182">
        <f t="shared" ca="1" si="90"/>
        <v>1452216.3557692312</v>
      </c>
      <c r="AA152" s="271">
        <f t="shared" ca="1" si="107"/>
        <v>0.22</v>
      </c>
      <c r="AB152" s="12">
        <f t="shared" ca="1" si="91"/>
        <v>13454.344403612162</v>
      </c>
      <c r="AC152" s="12">
        <f t="shared" ca="1" si="92"/>
        <v>13454.34440361218</v>
      </c>
      <c r="AD152" s="199"/>
      <c r="AE152" s="273">
        <f t="shared" ca="1" si="93"/>
        <v>1.6821425527395739E-3</v>
      </c>
      <c r="AF152" s="184">
        <f t="shared" ca="1" si="94"/>
        <v>0.79803972794526079</v>
      </c>
      <c r="AG152" s="12">
        <f t="shared" ca="1" si="95"/>
        <v>10737.101347540492</v>
      </c>
      <c r="AH152" s="12">
        <f t="shared" ca="1" si="96"/>
        <v>10737.101347540507</v>
      </c>
      <c r="AI152" s="185">
        <f t="shared" ca="1" si="97"/>
        <v>49</v>
      </c>
      <c r="AJ152" s="177">
        <f t="shared" ca="1" si="98"/>
        <v>49</v>
      </c>
      <c r="AK152" s="12">
        <f t="shared" ca="1" si="99"/>
        <v>-14935.03810785255</v>
      </c>
      <c r="AL152" s="185">
        <f t="shared" ca="1" si="108"/>
        <v>14886.03810785255</v>
      </c>
      <c r="AM152" s="177">
        <f t="shared" ca="1" si="109"/>
        <v>14923.574208573704</v>
      </c>
      <c r="AN152" s="177">
        <f t="shared" ca="1" si="110"/>
        <v>12011.562786813964</v>
      </c>
      <c r="AO152" s="196">
        <f t="shared" ca="1" si="111"/>
        <v>178</v>
      </c>
      <c r="AP152" s="196">
        <f t="shared" ca="1" si="112"/>
        <v>131</v>
      </c>
      <c r="AQ152" s="177">
        <f t="shared" ca="1" si="113"/>
        <v>0</v>
      </c>
      <c r="AR152" s="177">
        <f t="shared" ca="1" si="114"/>
        <v>37.536100721154071</v>
      </c>
      <c r="AS152" s="189"/>
      <c r="AT152" s="190"/>
      <c r="AU152" s="190"/>
    </row>
    <row r="153" spans="1:47" x14ac:dyDescent="0.6">
      <c r="A153" s="152" t="str">
        <f t="shared" ca="1" si="80"/>
        <v>April 2036</v>
      </c>
      <c r="B153" s="191">
        <v>0</v>
      </c>
      <c r="C153" s="270">
        <f t="shared" ca="1" si="100"/>
        <v>5.4899999999999997E-2</v>
      </c>
      <c r="D153" s="192" t="str">
        <f t="shared" ca="1" si="101"/>
        <v/>
      </c>
      <c r="E153" s="193" t="str">
        <f t="shared" ca="1" si="102"/>
        <v/>
      </c>
      <c r="F153" s="194">
        <f t="shared" ca="1" si="103"/>
        <v>49</v>
      </c>
      <c r="G153" s="14">
        <v>136</v>
      </c>
      <c r="H153" s="157">
        <f t="shared" ca="1" si="104"/>
        <v>177</v>
      </c>
      <c r="I153" s="16">
        <f t="shared" ca="1" si="105"/>
        <v>14848.502007131396</v>
      </c>
      <c r="J153" s="16">
        <f t="shared" ca="1" si="81"/>
        <v>6643.8898276442496</v>
      </c>
      <c r="K153" s="158">
        <f t="shared" ca="1" si="82"/>
        <v>8204.6121794871469</v>
      </c>
      <c r="L153" s="158">
        <f t="shared" ca="1" si="83"/>
        <v>1444011.7435897477</v>
      </c>
      <c r="M153" s="15">
        <f t="shared" ca="1" si="84"/>
        <v>-1.6370904631912708E-11</v>
      </c>
      <c r="N153" s="16">
        <f ca="1">IF(Y153=0, 0, ROUND(SUM(Y$17:Y153)-SUM(J$17:J153),0))</f>
        <v>0</v>
      </c>
      <c r="O153" s="16" t="str">
        <f t="shared" ca="1" si="85"/>
        <v/>
      </c>
      <c r="P153" s="16">
        <f t="shared" ca="1" si="86"/>
        <v>3550000</v>
      </c>
      <c r="Q153" s="160">
        <f t="shared" ca="1" si="78"/>
        <v>5000000</v>
      </c>
      <c r="R153" s="160">
        <f t="shared" ca="1" si="78"/>
        <v>0</v>
      </c>
      <c r="S153" s="160">
        <f t="shared" ca="1" si="78"/>
        <v>358488</v>
      </c>
      <c r="T153" s="160">
        <f t="shared" ca="1" si="78"/>
        <v>628000</v>
      </c>
      <c r="U153" s="161" t="str">
        <f t="shared" ca="1" si="87"/>
        <v/>
      </c>
      <c r="V153" s="162">
        <f t="shared" ca="1" si="79"/>
        <v>2.88</v>
      </c>
      <c r="W153" s="195">
        <f t="shared" ca="1" si="106"/>
        <v>177</v>
      </c>
      <c r="X153" s="158">
        <f t="shared" ca="1" si="88"/>
        <v>14848.502007131414</v>
      </c>
      <c r="Y153" s="16">
        <f t="shared" ca="1" si="89"/>
        <v>6643.8898276442333</v>
      </c>
      <c r="Z153" s="164">
        <f t="shared" ca="1" si="90"/>
        <v>1444011.743589744</v>
      </c>
      <c r="AA153" s="272">
        <f t="shared" ca="1" si="107"/>
        <v>0.22</v>
      </c>
      <c r="AB153" s="16">
        <f t="shared" ca="1" si="91"/>
        <v>13425.066245049662</v>
      </c>
      <c r="AC153" s="16">
        <f t="shared" ca="1" si="92"/>
        <v>13425.066245049682</v>
      </c>
      <c r="AD153" s="197"/>
      <c r="AE153" s="274">
        <f t="shared" ca="1" si="93"/>
        <v>1.6821425527395739E-3</v>
      </c>
      <c r="AF153" s="166">
        <f t="shared" ca="1" si="94"/>
        <v>0.79669731136010735</v>
      </c>
      <c r="AG153" s="16">
        <f t="shared" ca="1" si="95"/>
        <v>10695.714182262398</v>
      </c>
      <c r="AH153" s="16">
        <f t="shared" ca="1" si="96"/>
        <v>10695.714182262414</v>
      </c>
      <c r="AI153" s="168">
        <f t="shared" ca="1" si="97"/>
        <v>49</v>
      </c>
      <c r="AJ153" s="158">
        <f t="shared" ca="1" si="98"/>
        <v>49</v>
      </c>
      <c r="AK153" s="16">
        <f t="shared" ca="1" si="99"/>
        <v>-14897.502007131396</v>
      </c>
      <c r="AL153" s="168">
        <f t="shared" ca="1" si="108"/>
        <v>14848.502007131396</v>
      </c>
      <c r="AM153" s="158">
        <f t="shared" ca="1" si="109"/>
        <v>14886.03810785255</v>
      </c>
      <c r="AN153" s="158">
        <f t="shared" ca="1" si="110"/>
        <v>11987.834411883628</v>
      </c>
      <c r="AO153" s="169">
        <f t="shared" ca="1" si="111"/>
        <v>177</v>
      </c>
      <c r="AP153" s="169">
        <f t="shared" ca="1" si="112"/>
        <v>130</v>
      </c>
      <c r="AQ153" s="158">
        <f t="shared" ca="1" si="113"/>
        <v>0</v>
      </c>
      <c r="AR153" s="158">
        <f t="shared" ca="1" si="114"/>
        <v>37.536100721154071</v>
      </c>
      <c r="AS153" s="170"/>
      <c r="AT153" s="159"/>
      <c r="AU153" s="159"/>
    </row>
    <row r="154" spans="1:47" x14ac:dyDescent="0.6">
      <c r="A154" s="171" t="str">
        <f t="shared" ca="1" si="80"/>
        <v>Mai 2036</v>
      </c>
      <c r="B154" s="191">
        <v>0</v>
      </c>
      <c r="C154" s="269">
        <f t="shared" ca="1" si="100"/>
        <v>5.4899999999999997E-2</v>
      </c>
      <c r="D154" s="173" t="str">
        <f t="shared" ca="1" si="101"/>
        <v/>
      </c>
      <c r="E154" s="174" t="str">
        <f t="shared" ca="1" si="102"/>
        <v/>
      </c>
      <c r="F154" s="175">
        <f t="shared" ca="1" si="103"/>
        <v>49</v>
      </c>
      <c r="G154" s="10">
        <v>137</v>
      </c>
      <c r="H154" s="176">
        <f t="shared" ca="1" si="104"/>
        <v>176</v>
      </c>
      <c r="I154" s="12">
        <f t="shared" ca="1" si="105"/>
        <v>14810.965906410242</v>
      </c>
      <c r="J154" s="12">
        <f t="shared" ca="1" si="81"/>
        <v>6606.3537269230956</v>
      </c>
      <c r="K154" s="177">
        <f t="shared" ca="1" si="82"/>
        <v>8204.6121794871469</v>
      </c>
      <c r="L154" s="177">
        <f t="shared" ca="1" si="83"/>
        <v>1435807.1314102605</v>
      </c>
      <c r="M154" s="11">
        <f t="shared" ca="1" si="84"/>
        <v>-1.6370904631912708E-11</v>
      </c>
      <c r="N154" s="12">
        <f ca="1">IF(Y154=0, 0, ROUND(SUM(Y$17:Y154)-SUM(J$17:J154),0))</f>
        <v>0</v>
      </c>
      <c r="O154" s="12" t="str">
        <f t="shared" ca="1" si="85"/>
        <v/>
      </c>
      <c r="P154" s="12">
        <f t="shared" ca="1" si="86"/>
        <v>3560000</v>
      </c>
      <c r="Q154" s="178">
        <f t="shared" ca="1" si="78"/>
        <v>5000000</v>
      </c>
      <c r="R154" s="178">
        <f t="shared" ca="1" si="78"/>
        <v>0</v>
      </c>
      <c r="S154" s="178">
        <f t="shared" ca="1" si="78"/>
        <v>358488</v>
      </c>
      <c r="T154" s="178">
        <f t="shared" ca="1" si="78"/>
        <v>628000</v>
      </c>
      <c r="U154" s="179" t="str">
        <f t="shared" ca="1" si="87"/>
        <v/>
      </c>
      <c r="V154" s="180">
        <f t="shared" ca="1" si="79"/>
        <v>2.86</v>
      </c>
      <c r="W154" s="181">
        <f t="shared" ca="1" si="106"/>
        <v>176</v>
      </c>
      <c r="X154" s="177">
        <f t="shared" ca="1" si="88"/>
        <v>14810.96590641026</v>
      </c>
      <c r="Y154" s="12">
        <f t="shared" ca="1" si="89"/>
        <v>6606.3537269230792</v>
      </c>
      <c r="Z154" s="182">
        <f t="shared" ca="1" si="90"/>
        <v>1435807.1314102567</v>
      </c>
      <c r="AA154" s="271">
        <f t="shared" ca="1" si="107"/>
        <v>0.22</v>
      </c>
      <c r="AB154" s="12">
        <f t="shared" ca="1" si="91"/>
        <v>13395.788086487162</v>
      </c>
      <c r="AC154" s="12">
        <f t="shared" ca="1" si="92"/>
        <v>13395.78808648718</v>
      </c>
      <c r="AD154" s="199"/>
      <c r="AE154" s="273">
        <f t="shared" ca="1" si="93"/>
        <v>1.6821425527395739E-3</v>
      </c>
      <c r="AF154" s="184">
        <f t="shared" ca="1" si="94"/>
        <v>0.79535715291101527</v>
      </c>
      <c r="AG154" s="12">
        <f t="shared" ca="1" si="95"/>
        <v>10654.435873467726</v>
      </c>
      <c r="AH154" s="12">
        <f t="shared" ca="1" si="96"/>
        <v>10654.435873467741</v>
      </c>
      <c r="AI154" s="185">
        <f t="shared" ca="1" si="97"/>
        <v>49</v>
      </c>
      <c r="AJ154" s="177">
        <f t="shared" ca="1" si="98"/>
        <v>49</v>
      </c>
      <c r="AK154" s="12">
        <f t="shared" ca="1" si="99"/>
        <v>-14859.965906410242</v>
      </c>
      <c r="AL154" s="185">
        <f t="shared" ca="1" si="108"/>
        <v>14810.965906410242</v>
      </c>
      <c r="AM154" s="177">
        <f t="shared" ca="1" si="109"/>
        <v>14848.502007131396</v>
      </c>
      <c r="AN154" s="177">
        <f t="shared" ca="1" si="110"/>
        <v>11964.13279923681</v>
      </c>
      <c r="AO154" s="196">
        <f t="shared" ca="1" si="111"/>
        <v>176</v>
      </c>
      <c r="AP154" s="196">
        <f t="shared" ca="1" si="112"/>
        <v>129</v>
      </c>
      <c r="AQ154" s="177">
        <f t="shared" ca="1" si="113"/>
        <v>0</v>
      </c>
      <c r="AR154" s="177">
        <f t="shared" ca="1" si="114"/>
        <v>37.536100721154071</v>
      </c>
      <c r="AS154" s="189"/>
      <c r="AT154" s="190"/>
      <c r="AU154" s="190"/>
    </row>
    <row r="155" spans="1:47" x14ac:dyDescent="0.6">
      <c r="A155" s="152" t="str">
        <f t="shared" ca="1" si="80"/>
        <v>Juni 2036</v>
      </c>
      <c r="B155" s="191">
        <v>0</v>
      </c>
      <c r="C155" s="270">
        <f t="shared" ca="1" si="100"/>
        <v>5.4899999999999997E-2</v>
      </c>
      <c r="D155" s="192" t="str">
        <f t="shared" ca="1" si="101"/>
        <v/>
      </c>
      <c r="E155" s="193" t="str">
        <f t="shared" ca="1" si="102"/>
        <v/>
      </c>
      <c r="F155" s="194">
        <f t="shared" ca="1" si="103"/>
        <v>49</v>
      </c>
      <c r="G155" s="14">
        <v>138</v>
      </c>
      <c r="H155" s="157">
        <f t="shared" ca="1" si="104"/>
        <v>175</v>
      </c>
      <c r="I155" s="16">
        <f t="shared" ca="1" si="105"/>
        <v>14773.429805689088</v>
      </c>
      <c r="J155" s="16">
        <f t="shared" ca="1" si="81"/>
        <v>6568.8176262019415</v>
      </c>
      <c r="K155" s="158">
        <f t="shared" ca="1" si="82"/>
        <v>8204.6121794871469</v>
      </c>
      <c r="L155" s="158">
        <f t="shared" ca="1" si="83"/>
        <v>1427602.5192307732</v>
      </c>
      <c r="M155" s="15">
        <f t="shared" ca="1" si="84"/>
        <v>-1.6370904631912708E-11</v>
      </c>
      <c r="N155" s="16">
        <f ca="1">IF(Y155=0, 0, ROUND(SUM(Y$17:Y155)-SUM(J$17:J155),0))</f>
        <v>0</v>
      </c>
      <c r="O155" s="16" t="str">
        <f t="shared" ca="1" si="85"/>
        <v/>
      </c>
      <c r="P155" s="16">
        <f t="shared" ca="1" si="86"/>
        <v>3570000</v>
      </c>
      <c r="Q155" s="160">
        <f t="shared" ca="1" si="78"/>
        <v>5000000</v>
      </c>
      <c r="R155" s="160">
        <f t="shared" ca="1" si="78"/>
        <v>0</v>
      </c>
      <c r="S155" s="160">
        <f t="shared" ca="1" si="78"/>
        <v>358488</v>
      </c>
      <c r="T155" s="160">
        <f t="shared" ca="1" si="78"/>
        <v>628000</v>
      </c>
      <c r="U155" s="161" t="str">
        <f t="shared" ca="1" si="87"/>
        <v/>
      </c>
      <c r="V155" s="162">
        <f t="shared" ca="1" si="79"/>
        <v>2.8499999999999996</v>
      </c>
      <c r="W155" s="195">
        <f t="shared" ca="1" si="106"/>
        <v>175</v>
      </c>
      <c r="X155" s="158">
        <f t="shared" ca="1" si="88"/>
        <v>14773.429805689106</v>
      </c>
      <c r="Y155" s="16">
        <f t="shared" ca="1" si="89"/>
        <v>6568.8176262019251</v>
      </c>
      <c r="Z155" s="164">
        <f t="shared" ca="1" si="90"/>
        <v>1427602.5192307697</v>
      </c>
      <c r="AA155" s="272">
        <f t="shared" ca="1" si="107"/>
        <v>0.22</v>
      </c>
      <c r="AB155" s="16">
        <f t="shared" ca="1" si="91"/>
        <v>13366.509927924661</v>
      </c>
      <c r="AC155" s="16">
        <f t="shared" ca="1" si="92"/>
        <v>13366.509927924682</v>
      </c>
      <c r="AD155" s="197"/>
      <c r="AE155" s="274">
        <f t="shared" ca="1" si="93"/>
        <v>1.6821425527395739E-3</v>
      </c>
      <c r="AF155" s="166">
        <f t="shared" ca="1" si="94"/>
        <v>0.79401924879947783</v>
      </c>
      <c r="AG155" s="16">
        <f t="shared" ca="1" si="95"/>
        <v>10613.266172041502</v>
      </c>
      <c r="AH155" s="16">
        <f t="shared" ca="1" si="96"/>
        <v>10613.266172041518</v>
      </c>
      <c r="AI155" s="168">
        <f t="shared" ca="1" si="97"/>
        <v>49</v>
      </c>
      <c r="AJ155" s="158">
        <f t="shared" ca="1" si="98"/>
        <v>49</v>
      </c>
      <c r="AK155" s="16">
        <f t="shared" ca="1" si="99"/>
        <v>-14822.429805689088</v>
      </c>
      <c r="AL155" s="168">
        <f t="shared" ca="1" si="108"/>
        <v>14773.429805689088</v>
      </c>
      <c r="AM155" s="158">
        <f t="shared" ca="1" si="109"/>
        <v>14810.965906410242</v>
      </c>
      <c r="AN155" s="158">
        <f t="shared" ca="1" si="110"/>
        <v>11940.457968324352</v>
      </c>
      <c r="AO155" s="169">
        <f t="shared" ca="1" si="111"/>
        <v>175</v>
      </c>
      <c r="AP155" s="169">
        <f t="shared" ca="1" si="112"/>
        <v>129</v>
      </c>
      <c r="AQ155" s="158">
        <f t="shared" ca="1" si="113"/>
        <v>0</v>
      </c>
      <c r="AR155" s="158">
        <f t="shared" ca="1" si="114"/>
        <v>37.536100721154071</v>
      </c>
      <c r="AS155" s="170"/>
      <c r="AT155" s="159"/>
      <c r="AU155" s="159"/>
    </row>
    <row r="156" spans="1:47" x14ac:dyDescent="0.6">
      <c r="A156" s="171" t="str">
        <f t="shared" ca="1" si="80"/>
        <v>Juli 2036</v>
      </c>
      <c r="B156" s="191">
        <v>0</v>
      </c>
      <c r="C156" s="269">
        <f t="shared" ca="1" si="100"/>
        <v>5.4899999999999997E-2</v>
      </c>
      <c r="D156" s="173" t="str">
        <f t="shared" ca="1" si="101"/>
        <v/>
      </c>
      <c r="E156" s="174" t="str">
        <f t="shared" ca="1" si="102"/>
        <v/>
      </c>
      <c r="F156" s="175">
        <f t="shared" ca="1" si="103"/>
        <v>49</v>
      </c>
      <c r="G156" s="10">
        <v>139</v>
      </c>
      <c r="H156" s="176">
        <f t="shared" ca="1" si="104"/>
        <v>174</v>
      </c>
      <c r="I156" s="12">
        <f t="shared" ca="1" si="105"/>
        <v>14735.893704967933</v>
      </c>
      <c r="J156" s="12">
        <f t="shared" ca="1" si="81"/>
        <v>6531.2815254807865</v>
      </c>
      <c r="K156" s="177">
        <f t="shared" ca="1" si="82"/>
        <v>8204.6121794871469</v>
      </c>
      <c r="L156" s="177">
        <f t="shared" ca="1" si="83"/>
        <v>1419397.907051286</v>
      </c>
      <c r="M156" s="11">
        <f t="shared" ca="1" si="84"/>
        <v>-1.546140993013978E-11</v>
      </c>
      <c r="N156" s="12">
        <f ca="1">IF(Y156=0, 0, ROUND(SUM(Y$17:Y156)-SUM(J$17:J156),0))</f>
        <v>0</v>
      </c>
      <c r="O156" s="12" t="str">
        <f t="shared" ca="1" si="85"/>
        <v/>
      </c>
      <c r="P156" s="12">
        <f t="shared" ca="1" si="86"/>
        <v>3580000</v>
      </c>
      <c r="Q156" s="178">
        <f t="shared" ca="1" si="78"/>
        <v>5000000</v>
      </c>
      <c r="R156" s="178">
        <f t="shared" ca="1" si="78"/>
        <v>0</v>
      </c>
      <c r="S156" s="178">
        <f t="shared" ca="1" si="78"/>
        <v>358488</v>
      </c>
      <c r="T156" s="178">
        <f t="shared" ca="1" si="78"/>
        <v>628000</v>
      </c>
      <c r="U156" s="179" t="str">
        <f t="shared" ca="1" si="87"/>
        <v/>
      </c>
      <c r="V156" s="180">
        <f t="shared" ca="1" si="79"/>
        <v>2.84</v>
      </c>
      <c r="W156" s="181">
        <f t="shared" ca="1" si="106"/>
        <v>174</v>
      </c>
      <c r="X156" s="177">
        <f t="shared" ca="1" si="88"/>
        <v>14735.893704967952</v>
      </c>
      <c r="Y156" s="12">
        <f t="shared" ca="1" si="89"/>
        <v>6531.2815254807711</v>
      </c>
      <c r="Z156" s="182">
        <f t="shared" ca="1" si="90"/>
        <v>1419397.9070512825</v>
      </c>
      <c r="AA156" s="271">
        <f t="shared" ca="1" si="107"/>
        <v>0.22</v>
      </c>
      <c r="AB156" s="12">
        <f t="shared" ca="1" si="91"/>
        <v>13337.231769362161</v>
      </c>
      <c r="AC156" s="12">
        <f t="shared" ca="1" si="92"/>
        <v>13337.231769362181</v>
      </c>
      <c r="AD156" s="199"/>
      <c r="AE156" s="273">
        <f t="shared" ca="1" si="93"/>
        <v>1.6821425527395739E-3</v>
      </c>
      <c r="AF156" s="184">
        <f t="shared" ca="1" si="94"/>
        <v>0.79268359523337795</v>
      </c>
      <c r="AG156" s="12">
        <f t="shared" ca="1" si="95"/>
        <v>10572.204829398825</v>
      </c>
      <c r="AH156" s="12">
        <f t="shared" ca="1" si="96"/>
        <v>10572.204829398841</v>
      </c>
      <c r="AI156" s="185">
        <f t="shared" ca="1" si="97"/>
        <v>49</v>
      </c>
      <c r="AJ156" s="177">
        <f t="shared" ca="1" si="98"/>
        <v>49</v>
      </c>
      <c r="AK156" s="12">
        <f t="shared" ca="1" si="99"/>
        <v>-14784.893704967933</v>
      </c>
      <c r="AL156" s="185">
        <f t="shared" ca="1" si="108"/>
        <v>14735.893704967933</v>
      </c>
      <c r="AM156" s="177">
        <f t="shared" ca="1" si="109"/>
        <v>14773.429805689088</v>
      </c>
      <c r="AN156" s="177">
        <f t="shared" ca="1" si="110"/>
        <v>11916.809938503557</v>
      </c>
      <c r="AO156" s="196">
        <f t="shared" ca="1" si="111"/>
        <v>174</v>
      </c>
      <c r="AP156" s="196">
        <f t="shared" ca="1" si="112"/>
        <v>128</v>
      </c>
      <c r="AQ156" s="177">
        <f t="shared" ca="1" si="113"/>
        <v>0</v>
      </c>
      <c r="AR156" s="177">
        <f t="shared" ca="1" si="114"/>
        <v>37.536100721154071</v>
      </c>
      <c r="AS156" s="189"/>
      <c r="AT156" s="190"/>
      <c r="AU156" s="190"/>
    </row>
    <row r="157" spans="1:47" x14ac:dyDescent="0.6">
      <c r="A157" s="152" t="str">
        <f t="shared" ca="1" si="80"/>
        <v>August 2036</v>
      </c>
      <c r="B157" s="191">
        <v>0</v>
      </c>
      <c r="C157" s="270">
        <f t="shared" ca="1" si="100"/>
        <v>5.4899999999999997E-2</v>
      </c>
      <c r="D157" s="192" t="str">
        <f t="shared" ca="1" si="101"/>
        <v/>
      </c>
      <c r="E157" s="193" t="str">
        <f t="shared" ca="1" si="102"/>
        <v/>
      </c>
      <c r="F157" s="194">
        <f t="shared" ca="1" si="103"/>
        <v>49</v>
      </c>
      <c r="G157" s="14">
        <v>140</v>
      </c>
      <c r="H157" s="157">
        <f t="shared" ca="1" si="104"/>
        <v>173</v>
      </c>
      <c r="I157" s="16">
        <f t="shared" ca="1" si="105"/>
        <v>14698.357604246779</v>
      </c>
      <c r="J157" s="16">
        <f t="shared" ca="1" si="81"/>
        <v>6493.7454247596324</v>
      </c>
      <c r="K157" s="158">
        <f t="shared" ca="1" si="82"/>
        <v>8204.6121794871469</v>
      </c>
      <c r="L157" s="158">
        <f t="shared" ca="1" si="83"/>
        <v>1411193.2948717987</v>
      </c>
      <c r="M157" s="15">
        <f t="shared" ca="1" si="84"/>
        <v>-1.546140993013978E-11</v>
      </c>
      <c r="N157" s="16">
        <f ca="1">IF(Y157=0, 0, ROUND(SUM(Y$17:Y157)-SUM(J$17:J157),0))</f>
        <v>0</v>
      </c>
      <c r="O157" s="16" t="str">
        <f t="shared" ca="1" si="85"/>
        <v/>
      </c>
      <c r="P157" s="16" t="str">
        <f t="shared" ca="1" si="86"/>
        <v/>
      </c>
      <c r="Q157" s="160">
        <f t="shared" ca="1" si="78"/>
        <v>5000000</v>
      </c>
      <c r="R157" s="160">
        <f t="shared" ca="1" si="78"/>
        <v>0</v>
      </c>
      <c r="S157" s="160">
        <f t="shared" ca="1" si="78"/>
        <v>358488</v>
      </c>
      <c r="T157" s="160">
        <f t="shared" ca="1" si="78"/>
        <v>628000</v>
      </c>
      <c r="U157" s="161" t="str">
        <f t="shared" ca="1" si="87"/>
        <v/>
      </c>
      <c r="V157" s="162">
        <f t="shared" ca="1" si="79"/>
        <v>2.82</v>
      </c>
      <c r="W157" s="195">
        <f t="shared" ca="1" si="106"/>
        <v>173</v>
      </c>
      <c r="X157" s="158">
        <f t="shared" ca="1" si="88"/>
        <v>14698.357604246798</v>
      </c>
      <c r="Y157" s="16">
        <f t="shared" ca="1" si="89"/>
        <v>6493.745424759617</v>
      </c>
      <c r="Z157" s="164">
        <f t="shared" ca="1" si="90"/>
        <v>1411193.2948717952</v>
      </c>
      <c r="AA157" s="272">
        <f t="shared" ca="1" si="107"/>
        <v>0.22</v>
      </c>
      <c r="AB157" s="16">
        <f t="shared" ca="1" si="91"/>
        <v>13307.953610799661</v>
      </c>
      <c r="AC157" s="16">
        <f t="shared" ca="1" si="92"/>
        <v>13307.953610799681</v>
      </c>
      <c r="AD157" s="197"/>
      <c r="AE157" s="274">
        <f t="shared" ca="1" si="93"/>
        <v>1.6821425527395739E-3</v>
      </c>
      <c r="AF157" s="166">
        <f t="shared" ca="1" si="94"/>
        <v>0.79135018842697724</v>
      </c>
      <c r="AG157" s="16">
        <f t="shared" ca="1" si="95"/>
        <v>10531.251597483784</v>
      </c>
      <c r="AH157" s="16">
        <f t="shared" ca="1" si="96"/>
        <v>10531.251597483799</v>
      </c>
      <c r="AI157" s="168">
        <f t="shared" ca="1" si="97"/>
        <v>49</v>
      </c>
      <c r="AJ157" s="158">
        <f t="shared" ca="1" si="98"/>
        <v>49</v>
      </c>
      <c r="AK157" s="16">
        <f t="shared" ca="1" si="99"/>
        <v>-14747.357604246779</v>
      </c>
      <c r="AL157" s="168">
        <f t="shared" ca="1" si="108"/>
        <v>14698.357604246779</v>
      </c>
      <c r="AM157" s="158">
        <f t="shared" ca="1" si="109"/>
        <v>14735.893704967933</v>
      </c>
      <c r="AN157" s="158">
        <f t="shared" ca="1" si="110"/>
        <v>11893.188729037933</v>
      </c>
      <c r="AO157" s="169">
        <f t="shared" ca="1" si="111"/>
        <v>173</v>
      </c>
      <c r="AP157" s="169">
        <f t="shared" ca="1" si="112"/>
        <v>128</v>
      </c>
      <c r="AQ157" s="158">
        <f t="shared" ca="1" si="113"/>
        <v>0</v>
      </c>
      <c r="AR157" s="158">
        <f t="shared" ca="1" si="114"/>
        <v>37.536100721154071</v>
      </c>
      <c r="AS157" s="170"/>
      <c r="AT157" s="159"/>
      <c r="AU157" s="159"/>
    </row>
    <row r="158" spans="1:47" x14ac:dyDescent="0.6">
      <c r="A158" s="171" t="str">
        <f t="shared" ca="1" si="80"/>
        <v>September 2036</v>
      </c>
      <c r="B158" s="191">
        <v>0</v>
      </c>
      <c r="C158" s="269">
        <f t="shared" ca="1" si="100"/>
        <v>5.4899999999999997E-2</v>
      </c>
      <c r="D158" s="173" t="str">
        <f t="shared" ca="1" si="101"/>
        <v/>
      </c>
      <c r="E158" s="174" t="str">
        <f t="shared" ca="1" si="102"/>
        <v/>
      </c>
      <c r="F158" s="175">
        <f t="shared" ca="1" si="103"/>
        <v>49</v>
      </c>
      <c r="G158" s="10">
        <v>141</v>
      </c>
      <c r="H158" s="176">
        <f t="shared" ca="1" si="104"/>
        <v>172</v>
      </c>
      <c r="I158" s="12">
        <f t="shared" ca="1" si="105"/>
        <v>14660.821503525625</v>
      </c>
      <c r="J158" s="12">
        <f t="shared" ca="1" si="81"/>
        <v>6456.2093240384784</v>
      </c>
      <c r="K158" s="177">
        <f t="shared" ca="1" si="82"/>
        <v>8204.6121794871469</v>
      </c>
      <c r="L158" s="177">
        <f t="shared" ca="1" si="83"/>
        <v>1402988.6826923115</v>
      </c>
      <c r="M158" s="11">
        <f t="shared" ca="1" si="84"/>
        <v>-1.546140993013978E-11</v>
      </c>
      <c r="N158" s="12">
        <f ca="1">IF(Y158=0, 0, ROUND(SUM(Y$17:Y158)-SUM(J$17:J158),0))</f>
        <v>0</v>
      </c>
      <c r="O158" s="12" t="str">
        <f t="shared" ca="1" si="85"/>
        <v/>
      </c>
      <c r="P158" s="12">
        <f t="shared" ca="1" si="86"/>
        <v>3590000</v>
      </c>
      <c r="Q158" s="178">
        <f t="shared" ref="Q158:T177" ca="1" si="115">OFFSET(Q158,-1,0,1,1)</f>
        <v>5000000</v>
      </c>
      <c r="R158" s="178">
        <f t="shared" ca="1" si="115"/>
        <v>0</v>
      </c>
      <c r="S158" s="178">
        <f t="shared" ca="1" si="115"/>
        <v>358488</v>
      </c>
      <c r="T158" s="178">
        <f t="shared" ca="1" si="115"/>
        <v>628000</v>
      </c>
      <c r="U158" s="179" t="str">
        <f t="shared" ca="1" si="87"/>
        <v/>
      </c>
      <c r="V158" s="180">
        <f t="shared" ca="1" si="79"/>
        <v>2.8099999999999996</v>
      </c>
      <c r="W158" s="181">
        <f t="shared" ca="1" si="106"/>
        <v>172</v>
      </c>
      <c r="X158" s="177">
        <f t="shared" ca="1" si="88"/>
        <v>14660.821503525643</v>
      </c>
      <c r="Y158" s="12">
        <f t="shared" ca="1" si="89"/>
        <v>6456.2093240384629</v>
      </c>
      <c r="Z158" s="182">
        <f t="shared" ca="1" si="90"/>
        <v>1402988.682692308</v>
      </c>
      <c r="AA158" s="271">
        <f t="shared" ca="1" si="107"/>
        <v>0.22</v>
      </c>
      <c r="AB158" s="12">
        <f t="shared" ca="1" si="91"/>
        <v>13278.675452237159</v>
      </c>
      <c r="AC158" s="12">
        <f t="shared" ca="1" si="92"/>
        <v>13278.675452237181</v>
      </c>
      <c r="AD158" s="199"/>
      <c r="AE158" s="273">
        <f t="shared" ca="1" si="93"/>
        <v>1.6821425527395739E-3</v>
      </c>
      <c r="AF158" s="184">
        <f t="shared" ca="1" si="94"/>
        <v>0.79001902460090578</v>
      </c>
      <c r="AG158" s="12">
        <f t="shared" ca="1" si="95"/>
        <v>10490.406228768392</v>
      </c>
      <c r="AH158" s="12">
        <f t="shared" ca="1" si="96"/>
        <v>10490.40622876841</v>
      </c>
      <c r="AI158" s="185">
        <f t="shared" ca="1" si="97"/>
        <v>49</v>
      </c>
      <c r="AJ158" s="177">
        <f t="shared" ca="1" si="98"/>
        <v>49</v>
      </c>
      <c r="AK158" s="12">
        <f t="shared" ca="1" si="99"/>
        <v>-14709.821503525625</v>
      </c>
      <c r="AL158" s="185">
        <f t="shared" ca="1" si="108"/>
        <v>14660.821503525625</v>
      </c>
      <c r="AM158" s="177">
        <f t="shared" ca="1" si="109"/>
        <v>14698.357604246779</v>
      </c>
      <c r="AN158" s="177">
        <f t="shared" ca="1" si="110"/>
        <v>11869.594359096909</v>
      </c>
      <c r="AO158" s="196">
        <f t="shared" ca="1" si="111"/>
        <v>172</v>
      </c>
      <c r="AP158" s="196">
        <f t="shared" ca="1" si="112"/>
        <v>127</v>
      </c>
      <c r="AQ158" s="177">
        <f t="shared" ca="1" si="113"/>
        <v>0</v>
      </c>
      <c r="AR158" s="177">
        <f t="shared" ca="1" si="114"/>
        <v>37.536100721154071</v>
      </c>
      <c r="AS158" s="189"/>
      <c r="AT158" s="190"/>
      <c r="AU158" s="190"/>
    </row>
    <row r="159" spans="1:47" x14ac:dyDescent="0.6">
      <c r="A159" s="152" t="str">
        <f t="shared" ca="1" si="80"/>
        <v>Oktober 2036</v>
      </c>
      <c r="B159" s="191">
        <v>0</v>
      </c>
      <c r="C159" s="270">
        <f t="shared" ca="1" si="100"/>
        <v>5.4899999999999997E-2</v>
      </c>
      <c r="D159" s="192" t="str">
        <f t="shared" ca="1" si="101"/>
        <v/>
      </c>
      <c r="E159" s="193" t="str">
        <f t="shared" ca="1" si="102"/>
        <v/>
      </c>
      <c r="F159" s="194">
        <f t="shared" ca="1" si="103"/>
        <v>49</v>
      </c>
      <c r="G159" s="14">
        <v>142</v>
      </c>
      <c r="H159" s="157">
        <f t="shared" ca="1" si="104"/>
        <v>171</v>
      </c>
      <c r="I159" s="16">
        <f t="shared" ca="1" si="105"/>
        <v>14623.285402804471</v>
      </c>
      <c r="J159" s="16">
        <f t="shared" ca="1" si="81"/>
        <v>6418.6732233173243</v>
      </c>
      <c r="K159" s="158">
        <f t="shared" ca="1" si="82"/>
        <v>8204.6121794871469</v>
      </c>
      <c r="L159" s="158">
        <f t="shared" ca="1" si="83"/>
        <v>1394784.0705128242</v>
      </c>
      <c r="M159" s="15">
        <f t="shared" ca="1" si="84"/>
        <v>-1.546140993013978E-11</v>
      </c>
      <c r="N159" s="16">
        <f ca="1">IF(Y159=0, 0, ROUND(SUM(Y$17:Y159)-SUM(J$17:J159),0))</f>
        <v>0</v>
      </c>
      <c r="O159" s="16" t="str">
        <f t="shared" ca="1" si="85"/>
        <v/>
      </c>
      <c r="P159" s="16">
        <f t="shared" ca="1" si="86"/>
        <v>3600000</v>
      </c>
      <c r="Q159" s="160">
        <f t="shared" ca="1" si="115"/>
        <v>5000000</v>
      </c>
      <c r="R159" s="160">
        <f t="shared" ca="1" si="115"/>
        <v>0</v>
      </c>
      <c r="S159" s="160">
        <f t="shared" ca="1" si="115"/>
        <v>358488</v>
      </c>
      <c r="T159" s="160">
        <f t="shared" ca="1" si="115"/>
        <v>628000</v>
      </c>
      <c r="U159" s="161" t="str">
        <f t="shared" ca="1" si="87"/>
        <v/>
      </c>
      <c r="V159" s="162">
        <f t="shared" ca="1" si="79"/>
        <v>2.8</v>
      </c>
      <c r="W159" s="195">
        <f t="shared" ca="1" si="106"/>
        <v>171</v>
      </c>
      <c r="X159" s="158">
        <f t="shared" ca="1" si="88"/>
        <v>14623.285402804489</v>
      </c>
      <c r="Y159" s="16">
        <f t="shared" ca="1" si="89"/>
        <v>6418.6732233173088</v>
      </c>
      <c r="Z159" s="164">
        <f t="shared" ca="1" si="90"/>
        <v>1394784.070512821</v>
      </c>
      <c r="AA159" s="272">
        <f t="shared" ca="1" si="107"/>
        <v>0.22</v>
      </c>
      <c r="AB159" s="16">
        <f t="shared" ca="1" si="91"/>
        <v>13249.397293674661</v>
      </c>
      <c r="AC159" s="16">
        <f t="shared" ca="1" si="92"/>
        <v>13249.39729367468</v>
      </c>
      <c r="AD159" s="197"/>
      <c r="AE159" s="274">
        <f t="shared" ca="1" si="93"/>
        <v>1.6821425527395739E-3</v>
      </c>
      <c r="AF159" s="166">
        <f t="shared" ca="1" si="94"/>
        <v>0.78869009998215078</v>
      </c>
      <c r="AG159" s="16">
        <f t="shared" ca="1" si="95"/>
        <v>10449.668476251507</v>
      </c>
      <c r="AH159" s="16">
        <f t="shared" ca="1" si="96"/>
        <v>10449.668476251521</v>
      </c>
      <c r="AI159" s="168">
        <f t="shared" ca="1" si="97"/>
        <v>49</v>
      </c>
      <c r="AJ159" s="158">
        <f t="shared" ca="1" si="98"/>
        <v>49</v>
      </c>
      <c r="AK159" s="16">
        <f t="shared" ca="1" si="99"/>
        <v>-14672.285402804471</v>
      </c>
      <c r="AL159" s="168">
        <f t="shared" ca="1" si="108"/>
        <v>14623.285402804471</v>
      </c>
      <c r="AM159" s="158">
        <f t="shared" ca="1" si="109"/>
        <v>14660.821503525625</v>
      </c>
      <c r="AN159" s="158">
        <f t="shared" ca="1" si="110"/>
        <v>11846.026847755595</v>
      </c>
      <c r="AO159" s="169">
        <f t="shared" ca="1" si="111"/>
        <v>171</v>
      </c>
      <c r="AP159" s="169">
        <f t="shared" ca="1" si="112"/>
        <v>127</v>
      </c>
      <c r="AQ159" s="158">
        <f t="shared" ca="1" si="113"/>
        <v>0</v>
      </c>
      <c r="AR159" s="158">
        <f t="shared" ca="1" si="114"/>
        <v>37.536100721154071</v>
      </c>
      <c r="AS159" s="170"/>
      <c r="AT159" s="159"/>
      <c r="AU159" s="159"/>
    </row>
    <row r="160" spans="1:47" x14ac:dyDescent="0.6">
      <c r="A160" s="171" t="str">
        <f t="shared" ca="1" si="80"/>
        <v>November 2036</v>
      </c>
      <c r="B160" s="191">
        <v>0</v>
      </c>
      <c r="C160" s="269">
        <f t="shared" ca="1" si="100"/>
        <v>5.4899999999999997E-2</v>
      </c>
      <c r="D160" s="173" t="str">
        <f t="shared" ca="1" si="101"/>
        <v/>
      </c>
      <c r="E160" s="174" t="str">
        <f t="shared" ca="1" si="102"/>
        <v/>
      </c>
      <c r="F160" s="175">
        <f t="shared" ca="1" si="103"/>
        <v>49</v>
      </c>
      <c r="G160" s="10">
        <v>143</v>
      </c>
      <c r="H160" s="176">
        <f t="shared" ca="1" si="104"/>
        <v>170</v>
      </c>
      <c r="I160" s="12">
        <f t="shared" ca="1" si="105"/>
        <v>14585.749302083317</v>
      </c>
      <c r="J160" s="12">
        <f t="shared" ca="1" si="81"/>
        <v>6381.1371225961702</v>
      </c>
      <c r="K160" s="177">
        <f t="shared" ca="1" si="82"/>
        <v>8204.6121794871469</v>
      </c>
      <c r="L160" s="177">
        <f t="shared" ca="1" si="83"/>
        <v>1386579.458333337</v>
      </c>
      <c r="M160" s="11">
        <f t="shared" ca="1" si="84"/>
        <v>-1.4551915228366852E-11</v>
      </c>
      <c r="N160" s="12">
        <f ca="1">IF(Y160=0, 0, ROUND(SUM(Y$17:Y160)-SUM(J$17:J160),0))</f>
        <v>0</v>
      </c>
      <c r="O160" s="12" t="str">
        <f t="shared" ca="1" si="85"/>
        <v/>
      </c>
      <c r="P160" s="12">
        <f t="shared" ca="1" si="86"/>
        <v>3610000</v>
      </c>
      <c r="Q160" s="178">
        <f t="shared" ca="1" si="115"/>
        <v>5000000</v>
      </c>
      <c r="R160" s="178">
        <f t="shared" ca="1" si="115"/>
        <v>0</v>
      </c>
      <c r="S160" s="178">
        <f t="shared" ca="1" si="115"/>
        <v>358488</v>
      </c>
      <c r="T160" s="178">
        <f t="shared" ca="1" si="115"/>
        <v>628000</v>
      </c>
      <c r="U160" s="179" t="str">
        <f t="shared" ca="1" si="87"/>
        <v/>
      </c>
      <c r="V160" s="180">
        <f t="shared" ca="1" si="79"/>
        <v>2.78</v>
      </c>
      <c r="W160" s="181">
        <f t="shared" ca="1" si="106"/>
        <v>170</v>
      </c>
      <c r="X160" s="177">
        <f t="shared" ca="1" si="88"/>
        <v>14585.749302083335</v>
      </c>
      <c r="Y160" s="12">
        <f t="shared" ca="1" si="89"/>
        <v>6381.1371225961557</v>
      </c>
      <c r="Z160" s="182">
        <f t="shared" ca="1" si="90"/>
        <v>1386579.4583333337</v>
      </c>
      <c r="AA160" s="271">
        <f t="shared" ca="1" si="107"/>
        <v>0.22</v>
      </c>
      <c r="AB160" s="12">
        <f t="shared" ca="1" si="91"/>
        <v>13220.11913511216</v>
      </c>
      <c r="AC160" s="12">
        <f t="shared" ca="1" si="92"/>
        <v>13220.119135112182</v>
      </c>
      <c r="AD160" s="199"/>
      <c r="AE160" s="273">
        <f t="shared" ca="1" si="93"/>
        <v>1.6821425527395739E-3</v>
      </c>
      <c r="AF160" s="184">
        <f t="shared" ca="1" si="94"/>
        <v>0.78736341080404637</v>
      </c>
      <c r="AG160" s="12">
        <f t="shared" ca="1" si="95"/>
        <v>10409.03809345775</v>
      </c>
      <c r="AH160" s="12">
        <f t="shared" ca="1" si="96"/>
        <v>10409.038093457766</v>
      </c>
      <c r="AI160" s="185">
        <f t="shared" ca="1" si="97"/>
        <v>49</v>
      </c>
      <c r="AJ160" s="177">
        <f t="shared" ca="1" si="98"/>
        <v>49</v>
      </c>
      <c r="AK160" s="12">
        <f t="shared" ca="1" si="99"/>
        <v>-14634.749302083317</v>
      </c>
      <c r="AL160" s="185">
        <f t="shared" ca="1" si="108"/>
        <v>14585.749302083317</v>
      </c>
      <c r="AM160" s="177">
        <f t="shared" ca="1" si="109"/>
        <v>14623.285402804471</v>
      </c>
      <c r="AN160" s="177">
        <f t="shared" ca="1" si="110"/>
        <v>11822.486213994491</v>
      </c>
      <c r="AO160" s="196">
        <f t="shared" ca="1" si="111"/>
        <v>170</v>
      </c>
      <c r="AP160" s="196">
        <f t="shared" ca="1" si="112"/>
        <v>126</v>
      </c>
      <c r="AQ160" s="177">
        <f t="shared" ca="1" si="113"/>
        <v>0</v>
      </c>
      <c r="AR160" s="177">
        <f t="shared" ca="1" si="114"/>
        <v>37.536100721154071</v>
      </c>
      <c r="AS160" s="189"/>
      <c r="AT160" s="190"/>
      <c r="AU160" s="190"/>
    </row>
    <row r="161" spans="1:47" x14ac:dyDescent="0.6">
      <c r="A161" s="152" t="str">
        <f t="shared" ca="1" si="80"/>
        <v>Desember 2036</v>
      </c>
      <c r="B161" s="191">
        <v>0</v>
      </c>
      <c r="C161" s="270">
        <f t="shared" ca="1" si="100"/>
        <v>5.4899999999999997E-2</v>
      </c>
      <c r="D161" s="192" t="str">
        <f t="shared" ca="1" si="101"/>
        <v/>
      </c>
      <c r="E161" s="193" t="str">
        <f t="shared" ca="1" si="102"/>
        <v/>
      </c>
      <c r="F161" s="194">
        <f t="shared" ca="1" si="103"/>
        <v>49</v>
      </c>
      <c r="G161" s="14">
        <v>144</v>
      </c>
      <c r="H161" s="157">
        <f t="shared" ca="1" si="104"/>
        <v>169</v>
      </c>
      <c r="I161" s="16">
        <f t="shared" ca="1" si="105"/>
        <v>14548.213201362163</v>
      </c>
      <c r="J161" s="16">
        <f t="shared" ca="1" si="81"/>
        <v>6343.6010218750162</v>
      </c>
      <c r="K161" s="158">
        <f t="shared" ca="1" si="82"/>
        <v>8204.6121794871469</v>
      </c>
      <c r="L161" s="158">
        <f t="shared" ca="1" si="83"/>
        <v>1378374.8461538497</v>
      </c>
      <c r="M161" s="15">
        <f t="shared" ca="1" si="84"/>
        <v>-1.4551915228366852E-11</v>
      </c>
      <c r="N161" s="16">
        <f ca="1">IF(Y161=0, 0, ROUND(SUM(Y$17:Y161)-SUM(J$17:J161),0))</f>
        <v>0</v>
      </c>
      <c r="O161" s="16" t="str">
        <f t="shared" ca="1" si="85"/>
        <v/>
      </c>
      <c r="P161" s="16">
        <f t="shared" ca="1" si="86"/>
        <v>3620000</v>
      </c>
      <c r="Q161" s="160">
        <f t="shared" ca="1" si="115"/>
        <v>5000000</v>
      </c>
      <c r="R161" s="160">
        <f t="shared" ca="1" si="115"/>
        <v>0</v>
      </c>
      <c r="S161" s="160">
        <f t="shared" ca="1" si="115"/>
        <v>358488</v>
      </c>
      <c r="T161" s="160">
        <f t="shared" ca="1" si="115"/>
        <v>628000</v>
      </c>
      <c r="U161" s="161" t="str">
        <f t="shared" ca="1" si="87"/>
        <v/>
      </c>
      <c r="V161" s="162">
        <f t="shared" ca="1" si="79"/>
        <v>2.7699999999999996</v>
      </c>
      <c r="W161" s="195">
        <f t="shared" ca="1" si="106"/>
        <v>169</v>
      </c>
      <c r="X161" s="158">
        <f t="shared" ca="1" si="88"/>
        <v>14548.213201362181</v>
      </c>
      <c r="Y161" s="16">
        <f t="shared" ca="1" si="89"/>
        <v>6343.6010218750016</v>
      </c>
      <c r="Z161" s="164">
        <f t="shared" ca="1" si="90"/>
        <v>1378374.8461538465</v>
      </c>
      <c r="AA161" s="272">
        <f t="shared" ca="1" si="107"/>
        <v>0.22</v>
      </c>
      <c r="AB161" s="16">
        <f t="shared" ca="1" si="91"/>
        <v>13190.84097654966</v>
      </c>
      <c r="AC161" s="16">
        <f t="shared" ca="1" si="92"/>
        <v>13190.84097654968</v>
      </c>
      <c r="AD161" s="197"/>
      <c r="AE161" s="274">
        <f t="shared" ca="1" si="93"/>
        <v>1.6821425527395739E-3</v>
      </c>
      <c r="AF161" s="166">
        <f t="shared" ca="1" si="94"/>
        <v>0.78603895330626272</v>
      </c>
      <c r="AG161" s="16">
        <f t="shared" ca="1" si="95"/>
        <v>10368.514834436455</v>
      </c>
      <c r="AH161" s="16">
        <f t="shared" ca="1" si="96"/>
        <v>10368.514834436472</v>
      </c>
      <c r="AI161" s="168">
        <f t="shared" ca="1" si="97"/>
        <v>49</v>
      </c>
      <c r="AJ161" s="158">
        <f t="shared" ca="1" si="98"/>
        <v>49</v>
      </c>
      <c r="AK161" s="16">
        <f t="shared" ca="1" si="99"/>
        <v>-14597.213201362163</v>
      </c>
      <c r="AL161" s="168">
        <f t="shared" ca="1" si="108"/>
        <v>14548.213201362163</v>
      </c>
      <c r="AM161" s="158">
        <f t="shared" ca="1" si="109"/>
        <v>14585.749302083317</v>
      </c>
      <c r="AN161" s="158">
        <f t="shared" ca="1" si="110"/>
        <v>11798.97247669924</v>
      </c>
      <c r="AO161" s="169">
        <f t="shared" ca="1" si="111"/>
        <v>169</v>
      </c>
      <c r="AP161" s="169">
        <f t="shared" ca="1" si="112"/>
        <v>126</v>
      </c>
      <c r="AQ161" s="158">
        <f t="shared" ca="1" si="113"/>
        <v>0</v>
      </c>
      <c r="AR161" s="158">
        <f t="shared" ca="1" si="114"/>
        <v>37.536100721154071</v>
      </c>
      <c r="AS161" s="170"/>
      <c r="AT161" s="159"/>
      <c r="AU161" s="159"/>
    </row>
    <row r="162" spans="1:47" x14ac:dyDescent="0.6">
      <c r="A162" s="171" t="str">
        <f t="shared" ca="1" si="80"/>
        <v>Januar 2037</v>
      </c>
      <c r="B162" s="191">
        <v>0</v>
      </c>
      <c r="C162" s="269">
        <f t="shared" ca="1" si="100"/>
        <v>5.4899999999999997E-2</v>
      </c>
      <c r="D162" s="173" t="str">
        <f t="shared" ca="1" si="101"/>
        <v/>
      </c>
      <c r="E162" s="174" t="str">
        <f t="shared" ca="1" si="102"/>
        <v/>
      </c>
      <c r="F162" s="175">
        <f t="shared" ca="1" si="103"/>
        <v>49</v>
      </c>
      <c r="G162" s="10">
        <v>145</v>
      </c>
      <c r="H162" s="176">
        <f t="shared" ca="1" si="104"/>
        <v>168</v>
      </c>
      <c r="I162" s="12">
        <f t="shared" ca="1" si="105"/>
        <v>14510.677100641009</v>
      </c>
      <c r="J162" s="12">
        <f t="shared" ca="1" si="81"/>
        <v>6306.0649211538621</v>
      </c>
      <c r="K162" s="177">
        <f t="shared" ca="1" si="82"/>
        <v>8204.6121794871469</v>
      </c>
      <c r="L162" s="177">
        <f t="shared" ca="1" si="83"/>
        <v>1370170.2339743625</v>
      </c>
      <c r="M162" s="11">
        <f t="shared" ca="1" si="84"/>
        <v>-1.4551915228366852E-11</v>
      </c>
      <c r="N162" s="12">
        <f ca="1">IF(Y162=0, 0, ROUND(SUM(Y$17:Y162)-SUM(J$17:J162),0))</f>
        <v>0</v>
      </c>
      <c r="O162" s="12" t="str">
        <f t="shared" ca="1" si="85"/>
        <v/>
      </c>
      <c r="P162" s="12" t="str">
        <f t="shared" ca="1" si="86"/>
        <v/>
      </c>
      <c r="Q162" s="178">
        <f t="shared" ca="1" si="115"/>
        <v>5000000</v>
      </c>
      <c r="R162" s="178">
        <f t="shared" ca="1" si="115"/>
        <v>0</v>
      </c>
      <c r="S162" s="178">
        <f t="shared" ca="1" si="115"/>
        <v>358488</v>
      </c>
      <c r="T162" s="178">
        <f t="shared" ca="1" si="115"/>
        <v>628000</v>
      </c>
      <c r="U162" s="179" t="str">
        <f t="shared" ca="1" si="87"/>
        <v/>
      </c>
      <c r="V162" s="180">
        <f t="shared" ca="1" si="79"/>
        <v>2.76</v>
      </c>
      <c r="W162" s="181">
        <f t="shared" ca="1" si="106"/>
        <v>168</v>
      </c>
      <c r="X162" s="177">
        <f t="shared" ca="1" si="88"/>
        <v>14510.677100641027</v>
      </c>
      <c r="Y162" s="12">
        <f t="shared" ca="1" si="89"/>
        <v>6306.0649211538475</v>
      </c>
      <c r="Z162" s="182">
        <f t="shared" ca="1" si="90"/>
        <v>1370170.2339743595</v>
      </c>
      <c r="AA162" s="271">
        <f t="shared" ca="1" si="107"/>
        <v>0.22</v>
      </c>
      <c r="AB162" s="12">
        <f t="shared" ca="1" si="91"/>
        <v>13161.56281798716</v>
      </c>
      <c r="AC162" s="12">
        <f t="shared" ca="1" si="92"/>
        <v>13161.562817987182</v>
      </c>
      <c r="AD162" s="199"/>
      <c r="AE162" s="273">
        <f t="shared" ca="1" si="93"/>
        <v>1.6821425527395739E-3</v>
      </c>
      <c r="AF162" s="184">
        <f t="shared" ca="1" si="94"/>
        <v>0.7847167237347954</v>
      </c>
      <c r="AG162" s="12">
        <f t="shared" ca="1" si="95"/>
        <v>10328.098453760585</v>
      </c>
      <c r="AH162" s="12">
        <f t="shared" ca="1" si="96"/>
        <v>10328.098453760602</v>
      </c>
      <c r="AI162" s="185">
        <f t="shared" ca="1" si="97"/>
        <v>49</v>
      </c>
      <c r="AJ162" s="177">
        <f t="shared" ca="1" si="98"/>
        <v>49</v>
      </c>
      <c r="AK162" s="12">
        <f t="shared" ca="1" si="99"/>
        <v>-14559.677100641009</v>
      </c>
      <c r="AL162" s="185">
        <f t="shared" ca="1" si="108"/>
        <v>14510.677100641009</v>
      </c>
      <c r="AM162" s="177">
        <f t="shared" ca="1" si="109"/>
        <v>14548.213201362163</v>
      </c>
      <c r="AN162" s="177">
        <f t="shared" ca="1" si="110"/>
        <v>11775.485654660368</v>
      </c>
      <c r="AO162" s="196">
        <f t="shared" ca="1" si="111"/>
        <v>168</v>
      </c>
      <c r="AP162" s="196">
        <f t="shared" ca="1" si="112"/>
        <v>125</v>
      </c>
      <c r="AQ162" s="177">
        <f t="shared" ca="1" si="113"/>
        <v>0</v>
      </c>
      <c r="AR162" s="177">
        <f t="shared" ca="1" si="114"/>
        <v>37.536100721154071</v>
      </c>
      <c r="AS162" s="189"/>
      <c r="AT162" s="190"/>
      <c r="AU162" s="190"/>
    </row>
    <row r="163" spans="1:47" x14ac:dyDescent="0.6">
      <c r="A163" s="152" t="str">
        <f t="shared" ca="1" si="80"/>
        <v>Februar 2037</v>
      </c>
      <c r="B163" s="191">
        <v>0</v>
      </c>
      <c r="C163" s="270">
        <f t="shared" ca="1" si="100"/>
        <v>5.4899999999999997E-2</v>
      </c>
      <c r="D163" s="192" t="str">
        <f t="shared" ca="1" si="101"/>
        <v/>
      </c>
      <c r="E163" s="193" t="str">
        <f t="shared" ca="1" si="102"/>
        <v/>
      </c>
      <c r="F163" s="194">
        <f t="shared" ca="1" si="103"/>
        <v>49</v>
      </c>
      <c r="G163" s="14">
        <v>146</v>
      </c>
      <c r="H163" s="157">
        <f t="shared" ca="1" si="104"/>
        <v>167</v>
      </c>
      <c r="I163" s="16">
        <f t="shared" ca="1" si="105"/>
        <v>14473.140999919855</v>
      </c>
      <c r="J163" s="16">
        <f t="shared" ca="1" si="81"/>
        <v>6268.528820432708</v>
      </c>
      <c r="K163" s="158">
        <f t="shared" ca="1" si="82"/>
        <v>8204.6121794871469</v>
      </c>
      <c r="L163" s="158">
        <f t="shared" ca="1" si="83"/>
        <v>1361965.6217948752</v>
      </c>
      <c r="M163" s="15">
        <f t="shared" ca="1" si="84"/>
        <v>-1.3642420526593924E-11</v>
      </c>
      <c r="N163" s="16">
        <f ca="1">IF(Y163=0, 0, ROUND(SUM(Y$17:Y163)-SUM(J$17:J163),0))</f>
        <v>0</v>
      </c>
      <c r="O163" s="16" t="str">
        <f t="shared" ca="1" si="85"/>
        <v/>
      </c>
      <c r="P163" s="16">
        <f t="shared" ca="1" si="86"/>
        <v>3630000</v>
      </c>
      <c r="Q163" s="160">
        <f t="shared" ca="1" si="115"/>
        <v>5000000</v>
      </c>
      <c r="R163" s="160">
        <f t="shared" ca="1" si="115"/>
        <v>0</v>
      </c>
      <c r="S163" s="160">
        <f t="shared" ca="1" si="115"/>
        <v>358488</v>
      </c>
      <c r="T163" s="160">
        <f t="shared" ca="1" si="115"/>
        <v>628000</v>
      </c>
      <c r="U163" s="161" t="str">
        <f t="shared" ca="1" si="87"/>
        <v/>
      </c>
      <c r="V163" s="162">
        <f t="shared" ca="1" si="79"/>
        <v>2.7399999999999998</v>
      </c>
      <c r="W163" s="195">
        <f t="shared" ca="1" si="106"/>
        <v>167</v>
      </c>
      <c r="X163" s="158">
        <f t="shared" ca="1" si="88"/>
        <v>14473.140999919873</v>
      </c>
      <c r="Y163" s="16">
        <f t="shared" ca="1" si="89"/>
        <v>6268.5288204326944</v>
      </c>
      <c r="Z163" s="164">
        <f t="shared" ca="1" si="90"/>
        <v>1361965.6217948722</v>
      </c>
      <c r="AA163" s="272">
        <f t="shared" ca="1" si="107"/>
        <v>0.22</v>
      </c>
      <c r="AB163" s="16">
        <f t="shared" ca="1" si="91"/>
        <v>13132.284659424658</v>
      </c>
      <c r="AC163" s="16">
        <f t="shared" ca="1" si="92"/>
        <v>13132.28465942468</v>
      </c>
      <c r="AD163" s="197"/>
      <c r="AE163" s="274">
        <f t="shared" ca="1" si="93"/>
        <v>1.6821425527395739E-3</v>
      </c>
      <c r="AF163" s="166">
        <f t="shared" ca="1" si="94"/>
        <v>0.78339671834195468</v>
      </c>
      <c r="AG163" s="16">
        <f t="shared" ca="1" si="95"/>
        <v>10287.788706525671</v>
      </c>
      <c r="AH163" s="16">
        <f t="shared" ca="1" si="96"/>
        <v>10287.788706525689</v>
      </c>
      <c r="AI163" s="168">
        <f t="shared" ca="1" si="97"/>
        <v>49</v>
      </c>
      <c r="AJ163" s="158">
        <f t="shared" ca="1" si="98"/>
        <v>49</v>
      </c>
      <c r="AK163" s="16">
        <f t="shared" ca="1" si="99"/>
        <v>-14522.140999919855</v>
      </c>
      <c r="AL163" s="168">
        <f t="shared" ca="1" si="108"/>
        <v>14473.140999919855</v>
      </c>
      <c r="AM163" s="158">
        <f t="shared" ca="1" si="109"/>
        <v>14510.677100641009</v>
      </c>
      <c r="AN163" s="158">
        <f t="shared" ca="1" si="110"/>
        <v>11752.025766573002</v>
      </c>
      <c r="AO163" s="169">
        <f t="shared" ca="1" si="111"/>
        <v>167</v>
      </c>
      <c r="AP163" s="169">
        <f t="shared" ca="1" si="112"/>
        <v>124</v>
      </c>
      <c r="AQ163" s="158">
        <f t="shared" ca="1" si="113"/>
        <v>0</v>
      </c>
      <c r="AR163" s="158">
        <f t="shared" ca="1" si="114"/>
        <v>37.536100721154071</v>
      </c>
      <c r="AS163" s="170"/>
      <c r="AT163" s="159"/>
      <c r="AU163" s="159"/>
    </row>
    <row r="164" spans="1:47" x14ac:dyDescent="0.6">
      <c r="A164" s="171" t="str">
        <f t="shared" ca="1" si="80"/>
        <v>Mars 2037</v>
      </c>
      <c r="B164" s="191">
        <v>0</v>
      </c>
      <c r="C164" s="269">
        <f t="shared" ca="1" si="100"/>
        <v>5.4899999999999997E-2</v>
      </c>
      <c r="D164" s="173" t="str">
        <f t="shared" ca="1" si="101"/>
        <v/>
      </c>
      <c r="E164" s="174" t="str">
        <f t="shared" ca="1" si="102"/>
        <v/>
      </c>
      <c r="F164" s="175">
        <f t="shared" ca="1" si="103"/>
        <v>49</v>
      </c>
      <c r="G164" s="10">
        <v>147</v>
      </c>
      <c r="H164" s="176">
        <f t="shared" ca="1" si="104"/>
        <v>166</v>
      </c>
      <c r="I164" s="12">
        <f t="shared" ca="1" si="105"/>
        <v>14435.604899198701</v>
      </c>
      <c r="J164" s="12">
        <f t="shared" ca="1" si="81"/>
        <v>6230.9927197115539</v>
      </c>
      <c r="K164" s="177">
        <f t="shared" ca="1" si="82"/>
        <v>8204.6121794871469</v>
      </c>
      <c r="L164" s="177">
        <f t="shared" ca="1" si="83"/>
        <v>1353761.009615388</v>
      </c>
      <c r="M164" s="11">
        <f t="shared" ca="1" si="84"/>
        <v>-1.3642420526593924E-11</v>
      </c>
      <c r="N164" s="12">
        <f ca="1">IF(Y164=0, 0, ROUND(SUM(Y$17:Y164)-SUM(J$17:J164),0))</f>
        <v>0</v>
      </c>
      <c r="O164" s="12" t="str">
        <f t="shared" ca="1" si="85"/>
        <v/>
      </c>
      <c r="P164" s="12">
        <f t="shared" ca="1" si="86"/>
        <v>3640000</v>
      </c>
      <c r="Q164" s="178">
        <f t="shared" ca="1" si="115"/>
        <v>5000000</v>
      </c>
      <c r="R164" s="178">
        <f t="shared" ca="1" si="115"/>
        <v>0</v>
      </c>
      <c r="S164" s="178">
        <f t="shared" ca="1" si="115"/>
        <v>358488</v>
      </c>
      <c r="T164" s="178">
        <f t="shared" ca="1" si="115"/>
        <v>628000</v>
      </c>
      <c r="U164" s="179" t="str">
        <f t="shared" ca="1" si="87"/>
        <v/>
      </c>
      <c r="V164" s="180">
        <f t="shared" ca="1" si="79"/>
        <v>2.73</v>
      </c>
      <c r="W164" s="181">
        <f t="shared" ca="1" si="106"/>
        <v>166</v>
      </c>
      <c r="X164" s="177">
        <f t="shared" ca="1" si="88"/>
        <v>14435.604899198719</v>
      </c>
      <c r="Y164" s="12">
        <f t="shared" ca="1" si="89"/>
        <v>6230.9927197115403</v>
      </c>
      <c r="Z164" s="182">
        <f t="shared" ca="1" si="90"/>
        <v>1353761.009615385</v>
      </c>
      <c r="AA164" s="271">
        <f t="shared" ca="1" si="107"/>
        <v>0.22</v>
      </c>
      <c r="AB164" s="12">
        <f t="shared" ca="1" si="91"/>
        <v>13103.00650086216</v>
      </c>
      <c r="AC164" s="12">
        <f t="shared" ca="1" si="92"/>
        <v>13103.006500862182</v>
      </c>
      <c r="AD164" s="199"/>
      <c r="AE164" s="273">
        <f t="shared" ca="1" si="93"/>
        <v>1.6821425527395739E-3</v>
      </c>
      <c r="AF164" s="184">
        <f t="shared" ca="1" si="94"/>
        <v>0.78207893338635515</v>
      </c>
      <c r="AG164" s="12">
        <f t="shared" ca="1" si="95"/>
        <v>10247.585348348755</v>
      </c>
      <c r="AH164" s="12">
        <f t="shared" ca="1" si="96"/>
        <v>10247.585348348774</v>
      </c>
      <c r="AI164" s="185">
        <f t="shared" ca="1" si="97"/>
        <v>49</v>
      </c>
      <c r="AJ164" s="177">
        <f t="shared" ca="1" si="98"/>
        <v>49</v>
      </c>
      <c r="AK164" s="12">
        <f t="shared" ca="1" si="99"/>
        <v>-14484.604899198701</v>
      </c>
      <c r="AL164" s="185">
        <f t="shared" ca="1" si="108"/>
        <v>14435.604899198701</v>
      </c>
      <c r="AM164" s="177">
        <f t="shared" ca="1" si="109"/>
        <v>14473.140999919855</v>
      </c>
      <c r="AN164" s="177">
        <f t="shared" ca="1" si="110"/>
        <v>11728.592831036642</v>
      </c>
      <c r="AO164" s="196">
        <f t="shared" ca="1" si="111"/>
        <v>166</v>
      </c>
      <c r="AP164" s="196">
        <f t="shared" ca="1" si="112"/>
        <v>124</v>
      </c>
      <c r="AQ164" s="177">
        <f t="shared" ca="1" si="113"/>
        <v>0</v>
      </c>
      <c r="AR164" s="177">
        <f t="shared" ca="1" si="114"/>
        <v>37.536100721154071</v>
      </c>
      <c r="AS164" s="189"/>
      <c r="AT164" s="190"/>
      <c r="AU164" s="190"/>
    </row>
    <row r="165" spans="1:47" x14ac:dyDescent="0.6">
      <c r="A165" s="152" t="str">
        <f t="shared" ca="1" si="80"/>
        <v>April 2037</v>
      </c>
      <c r="B165" s="191">
        <v>0</v>
      </c>
      <c r="C165" s="270">
        <f t="shared" ca="1" si="100"/>
        <v>5.4899999999999997E-2</v>
      </c>
      <c r="D165" s="192" t="str">
        <f t="shared" ca="1" si="101"/>
        <v/>
      </c>
      <c r="E165" s="193" t="str">
        <f t="shared" ca="1" si="102"/>
        <v/>
      </c>
      <c r="F165" s="194">
        <f t="shared" ca="1" si="103"/>
        <v>49</v>
      </c>
      <c r="G165" s="14">
        <v>148</v>
      </c>
      <c r="H165" s="157">
        <f t="shared" ca="1" si="104"/>
        <v>165</v>
      </c>
      <c r="I165" s="16">
        <f t="shared" ca="1" si="105"/>
        <v>14398.068798477547</v>
      </c>
      <c r="J165" s="16">
        <f t="shared" ca="1" si="81"/>
        <v>6193.4566189903999</v>
      </c>
      <c r="K165" s="158">
        <f t="shared" ca="1" si="82"/>
        <v>8204.6121794871469</v>
      </c>
      <c r="L165" s="158">
        <f t="shared" ca="1" si="83"/>
        <v>1345556.3974359008</v>
      </c>
      <c r="M165" s="15">
        <f t="shared" ca="1" si="84"/>
        <v>-1.3642420526593924E-11</v>
      </c>
      <c r="N165" s="16">
        <f ca="1">IF(Y165=0, 0, ROUND(SUM(Y$17:Y165)-SUM(J$17:J165),0))</f>
        <v>0</v>
      </c>
      <c r="O165" s="16" t="str">
        <f t="shared" ca="1" si="85"/>
        <v/>
      </c>
      <c r="P165" s="16">
        <f t="shared" ca="1" si="86"/>
        <v>3650000</v>
      </c>
      <c r="Q165" s="160">
        <f t="shared" ca="1" si="115"/>
        <v>5000000</v>
      </c>
      <c r="R165" s="160">
        <f t="shared" ca="1" si="115"/>
        <v>0</v>
      </c>
      <c r="S165" s="160">
        <f t="shared" ca="1" si="115"/>
        <v>358488</v>
      </c>
      <c r="T165" s="160">
        <f t="shared" ca="1" si="115"/>
        <v>628000</v>
      </c>
      <c r="U165" s="161" t="str">
        <f t="shared" ca="1" si="87"/>
        <v/>
      </c>
      <c r="V165" s="162">
        <f t="shared" ca="1" si="79"/>
        <v>2.7199999999999998</v>
      </c>
      <c r="W165" s="195">
        <f t="shared" ca="1" si="106"/>
        <v>165</v>
      </c>
      <c r="X165" s="158">
        <f t="shared" ca="1" si="88"/>
        <v>14398.068798477565</v>
      </c>
      <c r="Y165" s="16">
        <f t="shared" ca="1" si="89"/>
        <v>6193.4566189903862</v>
      </c>
      <c r="Z165" s="164">
        <f t="shared" ca="1" si="90"/>
        <v>1345556.3974358977</v>
      </c>
      <c r="AA165" s="272">
        <f t="shared" ca="1" si="107"/>
        <v>0.22</v>
      </c>
      <c r="AB165" s="16">
        <f t="shared" ca="1" si="91"/>
        <v>13073.728342299659</v>
      </c>
      <c r="AC165" s="16">
        <f t="shared" ca="1" si="92"/>
        <v>13073.728342299681</v>
      </c>
      <c r="AD165" s="197"/>
      <c r="AE165" s="274">
        <f t="shared" ca="1" si="93"/>
        <v>1.6821425527395739E-3</v>
      </c>
      <c r="AF165" s="166">
        <f t="shared" ca="1" si="94"/>
        <v>0.78076336513290479</v>
      </c>
      <c r="AG165" s="16">
        <f t="shared" ca="1" si="95"/>
        <v>10207.488135367315</v>
      </c>
      <c r="AH165" s="16">
        <f t="shared" ca="1" si="96"/>
        <v>10207.488135367332</v>
      </c>
      <c r="AI165" s="168">
        <f t="shared" ca="1" si="97"/>
        <v>49</v>
      </c>
      <c r="AJ165" s="158">
        <f t="shared" ca="1" si="98"/>
        <v>49</v>
      </c>
      <c r="AK165" s="16">
        <f t="shared" ca="1" si="99"/>
        <v>-14447.068798477547</v>
      </c>
      <c r="AL165" s="168">
        <f t="shared" ca="1" si="108"/>
        <v>14398.068798477547</v>
      </c>
      <c r="AM165" s="158">
        <f t="shared" ca="1" si="109"/>
        <v>14435.604899198701</v>
      </c>
      <c r="AN165" s="158">
        <f t="shared" ca="1" si="110"/>
        <v>11705.186866554879</v>
      </c>
      <c r="AO165" s="169">
        <f t="shared" ca="1" si="111"/>
        <v>165</v>
      </c>
      <c r="AP165" s="169">
        <f t="shared" ca="1" si="112"/>
        <v>123</v>
      </c>
      <c r="AQ165" s="158">
        <f t="shared" ca="1" si="113"/>
        <v>0</v>
      </c>
      <c r="AR165" s="158">
        <f t="shared" ca="1" si="114"/>
        <v>37.536100721154071</v>
      </c>
      <c r="AS165" s="170"/>
      <c r="AT165" s="159"/>
      <c r="AU165" s="159"/>
    </row>
    <row r="166" spans="1:47" x14ac:dyDescent="0.6">
      <c r="A166" s="171" t="str">
        <f t="shared" ca="1" si="80"/>
        <v>Mai 2037</v>
      </c>
      <c r="B166" s="191">
        <v>0</v>
      </c>
      <c r="C166" s="269">
        <f t="shared" ca="1" si="100"/>
        <v>5.4899999999999997E-2</v>
      </c>
      <c r="D166" s="173" t="str">
        <f t="shared" ca="1" si="101"/>
        <v/>
      </c>
      <c r="E166" s="174" t="str">
        <f t="shared" ca="1" si="102"/>
        <v/>
      </c>
      <c r="F166" s="175">
        <f t="shared" ca="1" si="103"/>
        <v>49</v>
      </c>
      <c r="G166" s="10">
        <v>149</v>
      </c>
      <c r="H166" s="176">
        <f t="shared" ca="1" si="104"/>
        <v>164</v>
      </c>
      <c r="I166" s="12">
        <f t="shared" ca="1" si="105"/>
        <v>14360.532697756393</v>
      </c>
      <c r="J166" s="12">
        <f t="shared" ca="1" si="81"/>
        <v>6155.9205182692458</v>
      </c>
      <c r="K166" s="177">
        <f t="shared" ca="1" si="82"/>
        <v>8204.6121794871469</v>
      </c>
      <c r="L166" s="177">
        <f t="shared" ca="1" si="83"/>
        <v>1337351.7852564135</v>
      </c>
      <c r="M166" s="11">
        <f t="shared" ca="1" si="84"/>
        <v>-1.4551915228366852E-11</v>
      </c>
      <c r="N166" s="12">
        <f ca="1">IF(Y166=0, 0, ROUND(SUM(Y$17:Y166)-SUM(J$17:J166),0))</f>
        <v>0</v>
      </c>
      <c r="O166" s="12" t="str">
        <f t="shared" ca="1" si="85"/>
        <v/>
      </c>
      <c r="P166" s="12">
        <f t="shared" ca="1" si="86"/>
        <v>3660000</v>
      </c>
      <c r="Q166" s="178">
        <f t="shared" ca="1" si="115"/>
        <v>5000000</v>
      </c>
      <c r="R166" s="178">
        <f t="shared" ca="1" si="115"/>
        <v>0</v>
      </c>
      <c r="S166" s="178">
        <f t="shared" ca="1" si="115"/>
        <v>358488</v>
      </c>
      <c r="T166" s="178">
        <f t="shared" ca="1" si="115"/>
        <v>628000</v>
      </c>
      <c r="U166" s="179" t="str">
        <f t="shared" ca="1" si="87"/>
        <v/>
      </c>
      <c r="V166" s="180">
        <f t="shared" ca="1" si="79"/>
        <v>2.71</v>
      </c>
      <c r="W166" s="181">
        <f t="shared" ca="1" si="106"/>
        <v>164</v>
      </c>
      <c r="X166" s="177">
        <f t="shared" ca="1" si="88"/>
        <v>14360.532697756411</v>
      </c>
      <c r="Y166" s="12">
        <f t="shared" ca="1" si="89"/>
        <v>6155.9205182692313</v>
      </c>
      <c r="Z166" s="182">
        <f t="shared" ca="1" si="90"/>
        <v>1337351.7852564107</v>
      </c>
      <c r="AA166" s="271">
        <f t="shared" ca="1" si="107"/>
        <v>0.22</v>
      </c>
      <c r="AB166" s="12">
        <f t="shared" ca="1" si="91"/>
        <v>13044.450183737159</v>
      </c>
      <c r="AC166" s="12">
        <f t="shared" ca="1" si="92"/>
        <v>13044.450183737179</v>
      </c>
      <c r="AD166" s="199"/>
      <c r="AE166" s="273">
        <f t="shared" ca="1" si="93"/>
        <v>1.6821425527395739E-3</v>
      </c>
      <c r="AF166" s="184">
        <f t="shared" ca="1" si="94"/>
        <v>0.77945000985279456</v>
      </c>
      <c r="AG166" s="12">
        <f t="shared" ca="1" si="95"/>
        <v>10167.496824238217</v>
      </c>
      <c r="AH166" s="12">
        <f t="shared" ca="1" si="96"/>
        <v>10167.496824238231</v>
      </c>
      <c r="AI166" s="185">
        <f t="shared" ca="1" si="97"/>
        <v>49</v>
      </c>
      <c r="AJ166" s="177">
        <f t="shared" ca="1" si="98"/>
        <v>49</v>
      </c>
      <c r="AK166" s="12">
        <f t="shared" ca="1" si="99"/>
        <v>-14409.532697756393</v>
      </c>
      <c r="AL166" s="185">
        <f t="shared" ca="1" si="108"/>
        <v>14360.532697756393</v>
      </c>
      <c r="AM166" s="177">
        <f t="shared" ca="1" si="109"/>
        <v>14398.068798477547</v>
      </c>
      <c r="AN166" s="177">
        <f t="shared" ca="1" si="110"/>
        <v>11681.807891535134</v>
      </c>
      <c r="AO166" s="196">
        <f t="shared" ca="1" si="111"/>
        <v>164</v>
      </c>
      <c r="AP166" s="196">
        <f t="shared" ca="1" si="112"/>
        <v>123</v>
      </c>
      <c r="AQ166" s="177">
        <f t="shared" ca="1" si="113"/>
        <v>0</v>
      </c>
      <c r="AR166" s="177">
        <f t="shared" ca="1" si="114"/>
        <v>37.536100721154071</v>
      </c>
      <c r="AS166" s="189"/>
      <c r="AT166" s="190"/>
      <c r="AU166" s="190"/>
    </row>
    <row r="167" spans="1:47" x14ac:dyDescent="0.6">
      <c r="A167" s="152" t="str">
        <f t="shared" ca="1" si="80"/>
        <v>Juni 2037</v>
      </c>
      <c r="B167" s="191">
        <v>0</v>
      </c>
      <c r="C167" s="270">
        <f t="shared" ca="1" si="100"/>
        <v>5.4899999999999997E-2</v>
      </c>
      <c r="D167" s="192" t="str">
        <f t="shared" ca="1" si="101"/>
        <v/>
      </c>
      <c r="E167" s="193" t="str">
        <f t="shared" ca="1" si="102"/>
        <v/>
      </c>
      <c r="F167" s="194">
        <f t="shared" ca="1" si="103"/>
        <v>49</v>
      </c>
      <c r="G167" s="14">
        <v>150</v>
      </c>
      <c r="H167" s="157">
        <f t="shared" ca="1" si="104"/>
        <v>163</v>
      </c>
      <c r="I167" s="16">
        <f t="shared" ca="1" si="105"/>
        <v>14322.996597035239</v>
      </c>
      <c r="J167" s="16">
        <f t="shared" ca="1" si="81"/>
        <v>6118.3844175480917</v>
      </c>
      <c r="K167" s="158">
        <f t="shared" ca="1" si="82"/>
        <v>8204.6121794871469</v>
      </c>
      <c r="L167" s="158">
        <f t="shared" ca="1" si="83"/>
        <v>1329147.1730769263</v>
      </c>
      <c r="M167" s="15">
        <f t="shared" ca="1" si="84"/>
        <v>-1.3642420526593924E-11</v>
      </c>
      <c r="N167" s="16">
        <f ca="1">IF(Y167=0, 0, ROUND(SUM(Y$17:Y167)-SUM(J$17:J167),0))</f>
        <v>0</v>
      </c>
      <c r="O167" s="16" t="str">
        <f t="shared" ca="1" si="85"/>
        <v/>
      </c>
      <c r="P167" s="16">
        <f t="shared" ca="1" si="86"/>
        <v>3670000</v>
      </c>
      <c r="Q167" s="160">
        <f t="shared" ca="1" si="115"/>
        <v>5000000</v>
      </c>
      <c r="R167" s="160">
        <f t="shared" ca="1" si="115"/>
        <v>0</v>
      </c>
      <c r="S167" s="160">
        <f t="shared" ca="1" si="115"/>
        <v>358488</v>
      </c>
      <c r="T167" s="160">
        <f t="shared" ca="1" si="115"/>
        <v>628000</v>
      </c>
      <c r="U167" s="161" t="str">
        <f t="shared" ca="1" si="87"/>
        <v/>
      </c>
      <c r="V167" s="162">
        <f t="shared" ca="1" si="79"/>
        <v>2.69</v>
      </c>
      <c r="W167" s="195">
        <f t="shared" ca="1" si="106"/>
        <v>163</v>
      </c>
      <c r="X167" s="158">
        <f t="shared" ca="1" si="88"/>
        <v>14322.996597035257</v>
      </c>
      <c r="Y167" s="16">
        <f t="shared" ca="1" si="89"/>
        <v>6118.3844175480781</v>
      </c>
      <c r="Z167" s="164">
        <f t="shared" ca="1" si="90"/>
        <v>1329147.1730769235</v>
      </c>
      <c r="AA167" s="272">
        <f t="shared" ca="1" si="107"/>
        <v>0.22</v>
      </c>
      <c r="AB167" s="16">
        <f t="shared" ca="1" si="91"/>
        <v>13015.172025174659</v>
      </c>
      <c r="AC167" s="16">
        <f t="shared" ca="1" si="92"/>
        <v>13015.172025174681</v>
      </c>
      <c r="AD167" s="197"/>
      <c r="AE167" s="274">
        <f t="shared" ca="1" si="93"/>
        <v>1.6821425527395739E-3</v>
      </c>
      <c r="AF167" s="166">
        <f t="shared" ca="1" si="94"/>
        <v>0.77813886382348785</v>
      </c>
      <c r="AG167" s="16">
        <f t="shared" ca="1" si="95"/>
        <v>10127.611172136652</v>
      </c>
      <c r="AH167" s="16">
        <f t="shared" ca="1" si="96"/>
        <v>10127.611172136671</v>
      </c>
      <c r="AI167" s="168">
        <f t="shared" ca="1" si="97"/>
        <v>49</v>
      </c>
      <c r="AJ167" s="158">
        <f t="shared" ca="1" si="98"/>
        <v>49</v>
      </c>
      <c r="AK167" s="16">
        <f t="shared" ca="1" si="99"/>
        <v>-14371.996597035239</v>
      </c>
      <c r="AL167" s="168">
        <f t="shared" ca="1" si="108"/>
        <v>14322.996597035239</v>
      </c>
      <c r="AM167" s="158">
        <f t="shared" ca="1" si="109"/>
        <v>14360.532697756393</v>
      </c>
      <c r="AN167" s="158">
        <f t="shared" ca="1" si="110"/>
        <v>11658.45592428843</v>
      </c>
      <c r="AO167" s="169">
        <f t="shared" ca="1" si="111"/>
        <v>163</v>
      </c>
      <c r="AP167" s="169">
        <f t="shared" ca="1" si="112"/>
        <v>122</v>
      </c>
      <c r="AQ167" s="158">
        <f t="shared" ca="1" si="113"/>
        <v>0</v>
      </c>
      <c r="AR167" s="158">
        <f t="shared" ca="1" si="114"/>
        <v>37.536100721154071</v>
      </c>
      <c r="AS167" s="170"/>
      <c r="AT167" s="159"/>
      <c r="AU167" s="159"/>
    </row>
    <row r="168" spans="1:47" x14ac:dyDescent="0.6">
      <c r="A168" s="171" t="str">
        <f t="shared" ca="1" si="80"/>
        <v>Juli 2037</v>
      </c>
      <c r="B168" s="191">
        <v>0</v>
      </c>
      <c r="C168" s="269">
        <f t="shared" ca="1" si="100"/>
        <v>5.4899999999999997E-2</v>
      </c>
      <c r="D168" s="173" t="str">
        <f t="shared" ca="1" si="101"/>
        <v/>
      </c>
      <c r="E168" s="174" t="str">
        <f t="shared" ca="1" si="102"/>
        <v/>
      </c>
      <c r="F168" s="175">
        <f t="shared" ca="1" si="103"/>
        <v>49</v>
      </c>
      <c r="G168" s="10">
        <v>151</v>
      </c>
      <c r="H168" s="176">
        <f t="shared" ca="1" si="104"/>
        <v>162</v>
      </c>
      <c r="I168" s="12">
        <f t="shared" ca="1" si="105"/>
        <v>14285.460496314085</v>
      </c>
      <c r="J168" s="12">
        <f t="shared" ca="1" si="81"/>
        <v>6080.8483168269377</v>
      </c>
      <c r="K168" s="177">
        <f t="shared" ca="1" si="82"/>
        <v>8204.6121794871469</v>
      </c>
      <c r="L168" s="177">
        <f t="shared" ca="1" si="83"/>
        <v>1320942.560897439</v>
      </c>
      <c r="M168" s="11">
        <f t="shared" ca="1" si="84"/>
        <v>-1.3642420526593924E-11</v>
      </c>
      <c r="N168" s="12">
        <f ca="1">IF(Y168=0, 0, ROUND(SUM(Y$17:Y168)-SUM(J$17:J168),0))</f>
        <v>0</v>
      </c>
      <c r="O168" s="12" t="str">
        <f t="shared" ca="1" si="85"/>
        <v/>
      </c>
      <c r="P168" s="12" t="str">
        <f t="shared" ca="1" si="86"/>
        <v/>
      </c>
      <c r="Q168" s="178">
        <f t="shared" ca="1" si="115"/>
        <v>5000000</v>
      </c>
      <c r="R168" s="178">
        <f t="shared" ca="1" si="115"/>
        <v>0</v>
      </c>
      <c r="S168" s="178">
        <f t="shared" ca="1" si="115"/>
        <v>358488</v>
      </c>
      <c r="T168" s="178">
        <f t="shared" ca="1" si="115"/>
        <v>628000</v>
      </c>
      <c r="U168" s="179" t="str">
        <f t="shared" ca="1" si="87"/>
        <v/>
      </c>
      <c r="V168" s="180">
        <f t="shared" ca="1" si="79"/>
        <v>2.6799999999999997</v>
      </c>
      <c r="W168" s="181">
        <f t="shared" ca="1" si="106"/>
        <v>162</v>
      </c>
      <c r="X168" s="177">
        <f t="shared" ca="1" si="88"/>
        <v>14285.460496314103</v>
      </c>
      <c r="Y168" s="12">
        <f t="shared" ca="1" si="89"/>
        <v>6080.848316826924</v>
      </c>
      <c r="Z168" s="182">
        <f t="shared" ca="1" si="90"/>
        <v>1320942.5608974362</v>
      </c>
      <c r="AA168" s="271">
        <f t="shared" ca="1" si="107"/>
        <v>0.22</v>
      </c>
      <c r="AB168" s="12">
        <f t="shared" ca="1" si="91"/>
        <v>12985.893866612158</v>
      </c>
      <c r="AC168" s="12">
        <f t="shared" ca="1" si="92"/>
        <v>12985.893866612179</v>
      </c>
      <c r="AD168" s="199"/>
      <c r="AE168" s="273">
        <f t="shared" ca="1" si="93"/>
        <v>1.6821425527395739E-3</v>
      </c>
      <c r="AF168" s="184">
        <f t="shared" ca="1" si="94"/>
        <v>0.77682992332870993</v>
      </c>
      <c r="AG168" s="12">
        <f t="shared" ca="1" si="95"/>
        <v>10087.830936755086</v>
      </c>
      <c r="AH168" s="12">
        <f t="shared" ca="1" si="96"/>
        <v>10087.830936755105</v>
      </c>
      <c r="AI168" s="185">
        <f t="shared" ca="1" si="97"/>
        <v>49</v>
      </c>
      <c r="AJ168" s="177">
        <f t="shared" ca="1" si="98"/>
        <v>49</v>
      </c>
      <c r="AK168" s="12">
        <f t="shared" ca="1" si="99"/>
        <v>-14334.460496314085</v>
      </c>
      <c r="AL168" s="185">
        <f t="shared" ca="1" si="108"/>
        <v>14285.460496314085</v>
      </c>
      <c r="AM168" s="177">
        <f t="shared" ca="1" si="109"/>
        <v>14322.996597035239</v>
      </c>
      <c r="AN168" s="177">
        <f t="shared" ca="1" si="110"/>
        <v>11635.130983029103</v>
      </c>
      <c r="AO168" s="196">
        <f t="shared" ca="1" si="111"/>
        <v>162</v>
      </c>
      <c r="AP168" s="196">
        <f t="shared" ca="1" si="112"/>
        <v>122</v>
      </c>
      <c r="AQ168" s="177">
        <f t="shared" ca="1" si="113"/>
        <v>0</v>
      </c>
      <c r="AR168" s="177">
        <f t="shared" ca="1" si="114"/>
        <v>37.536100721154071</v>
      </c>
      <c r="AS168" s="189"/>
      <c r="AT168" s="190"/>
      <c r="AU168" s="190"/>
    </row>
    <row r="169" spans="1:47" x14ac:dyDescent="0.6">
      <c r="A169" s="152" t="str">
        <f t="shared" ca="1" si="80"/>
        <v>August 2037</v>
      </c>
      <c r="B169" s="191">
        <v>0</v>
      </c>
      <c r="C169" s="270">
        <f t="shared" ca="1" si="100"/>
        <v>5.4899999999999997E-2</v>
      </c>
      <c r="D169" s="192" t="str">
        <f t="shared" ca="1" si="101"/>
        <v/>
      </c>
      <c r="E169" s="193" t="str">
        <f t="shared" ca="1" si="102"/>
        <v/>
      </c>
      <c r="F169" s="194">
        <f t="shared" ca="1" si="103"/>
        <v>49</v>
      </c>
      <c r="G169" s="14">
        <v>152</v>
      </c>
      <c r="H169" s="157">
        <f t="shared" ca="1" si="104"/>
        <v>161</v>
      </c>
      <c r="I169" s="16">
        <f t="shared" ca="1" si="105"/>
        <v>14247.924395592931</v>
      </c>
      <c r="J169" s="16">
        <f t="shared" ca="1" si="81"/>
        <v>6043.3122161057836</v>
      </c>
      <c r="K169" s="158">
        <f t="shared" ca="1" si="82"/>
        <v>8204.6121794871469</v>
      </c>
      <c r="L169" s="158">
        <f t="shared" ca="1" si="83"/>
        <v>1312737.9487179518</v>
      </c>
      <c r="M169" s="15">
        <f t="shared" ca="1" si="84"/>
        <v>-1.3642420526593924E-11</v>
      </c>
      <c r="N169" s="16">
        <f ca="1">IF(Y169=0, 0, ROUND(SUM(Y$17:Y169)-SUM(J$17:J169),0))</f>
        <v>0</v>
      </c>
      <c r="O169" s="16" t="str">
        <f t="shared" ca="1" si="85"/>
        <v/>
      </c>
      <c r="P169" s="16">
        <f t="shared" ca="1" si="86"/>
        <v>3680000</v>
      </c>
      <c r="Q169" s="160">
        <f t="shared" ca="1" si="115"/>
        <v>5000000</v>
      </c>
      <c r="R169" s="160">
        <f t="shared" ca="1" si="115"/>
        <v>0</v>
      </c>
      <c r="S169" s="160">
        <f t="shared" ca="1" si="115"/>
        <v>358488</v>
      </c>
      <c r="T169" s="160">
        <f t="shared" ca="1" si="115"/>
        <v>628000</v>
      </c>
      <c r="U169" s="161" t="str">
        <f t="shared" ca="1" si="87"/>
        <v/>
      </c>
      <c r="V169" s="162">
        <f t="shared" ca="1" si="79"/>
        <v>2.67</v>
      </c>
      <c r="W169" s="195">
        <f t="shared" ca="1" si="106"/>
        <v>161</v>
      </c>
      <c r="X169" s="158">
        <f t="shared" ca="1" si="88"/>
        <v>14247.924395592949</v>
      </c>
      <c r="Y169" s="16">
        <f t="shared" ca="1" si="89"/>
        <v>6043.3122161057699</v>
      </c>
      <c r="Z169" s="164">
        <f t="shared" ca="1" si="90"/>
        <v>1312737.9487179492</v>
      </c>
      <c r="AA169" s="272">
        <f t="shared" ca="1" si="107"/>
        <v>0.22</v>
      </c>
      <c r="AB169" s="16">
        <f t="shared" ca="1" si="91"/>
        <v>12956.61570804966</v>
      </c>
      <c r="AC169" s="16">
        <f t="shared" ca="1" si="92"/>
        <v>12956.615708049681</v>
      </c>
      <c r="AD169" s="197"/>
      <c r="AE169" s="274">
        <f t="shared" ca="1" si="93"/>
        <v>1.6821425527395739E-3</v>
      </c>
      <c r="AF169" s="166">
        <f t="shared" ca="1" si="94"/>
        <v>0.77552318465843728</v>
      </c>
      <c r="AG169" s="16">
        <f t="shared" ca="1" si="95"/>
        <v>10048.155876302206</v>
      </c>
      <c r="AH169" s="16">
        <f t="shared" ca="1" si="96"/>
        <v>10048.155876302222</v>
      </c>
      <c r="AI169" s="168">
        <f t="shared" ca="1" si="97"/>
        <v>49</v>
      </c>
      <c r="AJ169" s="158">
        <f t="shared" ca="1" si="98"/>
        <v>49</v>
      </c>
      <c r="AK169" s="16">
        <f t="shared" ca="1" si="99"/>
        <v>-14296.924395592931</v>
      </c>
      <c r="AL169" s="168">
        <f t="shared" ca="1" si="108"/>
        <v>14247.924395592931</v>
      </c>
      <c r="AM169" s="158">
        <f t="shared" ca="1" si="109"/>
        <v>14285.460496314085</v>
      </c>
      <c r="AN169" s="158">
        <f t="shared" ca="1" si="110"/>
        <v>11611.833085874572</v>
      </c>
      <c r="AO169" s="169">
        <f t="shared" ca="1" si="111"/>
        <v>161</v>
      </c>
      <c r="AP169" s="169">
        <f t="shared" ca="1" si="112"/>
        <v>121</v>
      </c>
      <c r="AQ169" s="158">
        <f t="shared" ca="1" si="113"/>
        <v>0</v>
      </c>
      <c r="AR169" s="158">
        <f t="shared" ca="1" si="114"/>
        <v>37.536100721154071</v>
      </c>
      <c r="AS169" s="170"/>
      <c r="AT169" s="159"/>
      <c r="AU169" s="159"/>
    </row>
    <row r="170" spans="1:47" x14ac:dyDescent="0.6">
      <c r="A170" s="171" t="str">
        <f t="shared" ca="1" si="80"/>
        <v>September 2037</v>
      </c>
      <c r="B170" s="191">
        <v>0</v>
      </c>
      <c r="C170" s="269">
        <f t="shared" ca="1" si="100"/>
        <v>5.4899999999999997E-2</v>
      </c>
      <c r="D170" s="173" t="str">
        <f t="shared" ca="1" si="101"/>
        <v/>
      </c>
      <c r="E170" s="174" t="str">
        <f t="shared" ca="1" si="102"/>
        <v/>
      </c>
      <c r="F170" s="175">
        <f t="shared" ca="1" si="103"/>
        <v>49</v>
      </c>
      <c r="G170" s="10">
        <v>153</v>
      </c>
      <c r="H170" s="176">
        <f t="shared" ca="1" si="104"/>
        <v>160</v>
      </c>
      <c r="I170" s="12">
        <f t="shared" ca="1" si="105"/>
        <v>14210.388294871776</v>
      </c>
      <c r="J170" s="12">
        <f t="shared" ca="1" si="81"/>
        <v>6005.7761153846295</v>
      </c>
      <c r="K170" s="177">
        <f t="shared" ca="1" si="82"/>
        <v>8204.6121794871469</v>
      </c>
      <c r="L170" s="177">
        <f t="shared" ca="1" si="83"/>
        <v>1304533.3365384645</v>
      </c>
      <c r="M170" s="11">
        <f t="shared" ca="1" si="84"/>
        <v>-1.1823431123048067E-11</v>
      </c>
      <c r="N170" s="12">
        <f ca="1">IF(Y170=0, 0, ROUND(SUM(Y$17:Y170)-SUM(J$17:J170),0))</f>
        <v>0</v>
      </c>
      <c r="O170" s="12" t="str">
        <f t="shared" ca="1" si="85"/>
        <v/>
      </c>
      <c r="P170" s="12">
        <f t="shared" ca="1" si="86"/>
        <v>3690000</v>
      </c>
      <c r="Q170" s="178">
        <f t="shared" ca="1" si="115"/>
        <v>5000000</v>
      </c>
      <c r="R170" s="178">
        <f t="shared" ca="1" si="115"/>
        <v>0</v>
      </c>
      <c r="S170" s="178">
        <f t="shared" ca="1" si="115"/>
        <v>358488</v>
      </c>
      <c r="T170" s="178">
        <f t="shared" ca="1" si="115"/>
        <v>628000</v>
      </c>
      <c r="U170" s="179" t="str">
        <f t="shared" ca="1" si="87"/>
        <v/>
      </c>
      <c r="V170" s="180">
        <f t="shared" ca="1" si="79"/>
        <v>2.65</v>
      </c>
      <c r="W170" s="181">
        <f t="shared" ca="1" si="106"/>
        <v>160</v>
      </c>
      <c r="X170" s="177">
        <f t="shared" ca="1" si="88"/>
        <v>14210.388294871798</v>
      </c>
      <c r="Y170" s="12">
        <f t="shared" ca="1" si="89"/>
        <v>6005.7761153846177</v>
      </c>
      <c r="Z170" s="182">
        <f t="shared" ca="1" si="90"/>
        <v>1304533.336538462</v>
      </c>
      <c r="AA170" s="271">
        <f t="shared" ca="1" si="107"/>
        <v>0.22</v>
      </c>
      <c r="AB170" s="12">
        <f t="shared" ca="1" si="91"/>
        <v>12927.337549487158</v>
      </c>
      <c r="AC170" s="12">
        <f t="shared" ca="1" si="92"/>
        <v>12927.337549487182</v>
      </c>
      <c r="AD170" s="199"/>
      <c r="AE170" s="273">
        <f t="shared" ca="1" si="93"/>
        <v>1.6821425527395739E-3</v>
      </c>
      <c r="AF170" s="184">
        <f t="shared" ca="1" si="94"/>
        <v>0.77421864410888719</v>
      </c>
      <c r="AG170" s="12">
        <f t="shared" ca="1" si="95"/>
        <v>10008.585749501852</v>
      </c>
      <c r="AH170" s="12">
        <f t="shared" ca="1" si="96"/>
        <v>10008.58574950187</v>
      </c>
      <c r="AI170" s="185">
        <f t="shared" ca="1" si="97"/>
        <v>49</v>
      </c>
      <c r="AJ170" s="177">
        <f t="shared" ca="1" si="98"/>
        <v>49</v>
      </c>
      <c r="AK170" s="12">
        <f t="shared" ca="1" si="99"/>
        <v>-14259.388294871776</v>
      </c>
      <c r="AL170" s="185">
        <f t="shared" ca="1" si="108"/>
        <v>14210.388294871776</v>
      </c>
      <c r="AM170" s="177">
        <f t="shared" ca="1" si="109"/>
        <v>14247.924395592931</v>
      </c>
      <c r="AN170" s="177">
        <f t="shared" ca="1" si="110"/>
        <v>11588.562250845067</v>
      </c>
      <c r="AO170" s="196">
        <f t="shared" ca="1" si="111"/>
        <v>160</v>
      </c>
      <c r="AP170" s="196">
        <f t="shared" ca="1" si="112"/>
        <v>120</v>
      </c>
      <c r="AQ170" s="177">
        <f t="shared" ca="1" si="113"/>
        <v>0</v>
      </c>
      <c r="AR170" s="177">
        <f t="shared" ca="1" si="114"/>
        <v>37.536100721154071</v>
      </c>
      <c r="AS170" s="189"/>
      <c r="AT170" s="190"/>
      <c r="AU170" s="190"/>
    </row>
    <row r="171" spans="1:47" x14ac:dyDescent="0.6">
      <c r="A171" s="152" t="str">
        <f t="shared" ca="1" si="80"/>
        <v>Oktober 2037</v>
      </c>
      <c r="B171" s="191">
        <v>0</v>
      </c>
      <c r="C171" s="270">
        <f t="shared" ca="1" si="100"/>
        <v>5.4899999999999997E-2</v>
      </c>
      <c r="D171" s="192" t="str">
        <f t="shared" ca="1" si="101"/>
        <v/>
      </c>
      <c r="E171" s="193" t="str">
        <f t="shared" ca="1" si="102"/>
        <v/>
      </c>
      <c r="F171" s="194">
        <f t="shared" ca="1" si="103"/>
        <v>49</v>
      </c>
      <c r="G171" s="14">
        <v>154</v>
      </c>
      <c r="H171" s="157">
        <f t="shared" ca="1" si="104"/>
        <v>159</v>
      </c>
      <c r="I171" s="16">
        <f t="shared" ca="1" si="105"/>
        <v>14172.852194150622</v>
      </c>
      <c r="J171" s="16">
        <f t="shared" ca="1" si="81"/>
        <v>5968.2400146634754</v>
      </c>
      <c r="K171" s="158">
        <f t="shared" ca="1" si="82"/>
        <v>8204.6121794871469</v>
      </c>
      <c r="L171" s="158">
        <f t="shared" ca="1" si="83"/>
        <v>1296328.7243589773</v>
      </c>
      <c r="M171" s="15">
        <f t="shared" ca="1" si="84"/>
        <v>-1.1823431123048067E-11</v>
      </c>
      <c r="N171" s="16">
        <f ca="1">IF(Y171=0, 0, ROUND(SUM(Y$17:Y171)-SUM(J$17:J171),0))</f>
        <v>0</v>
      </c>
      <c r="O171" s="16" t="str">
        <f t="shared" ca="1" si="85"/>
        <v/>
      </c>
      <c r="P171" s="16">
        <f t="shared" ca="1" si="86"/>
        <v>3700000</v>
      </c>
      <c r="Q171" s="160">
        <f t="shared" ca="1" si="115"/>
        <v>5000000</v>
      </c>
      <c r="R171" s="160">
        <f t="shared" ca="1" si="115"/>
        <v>0</v>
      </c>
      <c r="S171" s="160">
        <f t="shared" ca="1" si="115"/>
        <v>358488</v>
      </c>
      <c r="T171" s="160">
        <f t="shared" ca="1" si="115"/>
        <v>628000</v>
      </c>
      <c r="U171" s="161" t="str">
        <f t="shared" ca="1" si="87"/>
        <v/>
      </c>
      <c r="V171" s="162">
        <f t="shared" ca="1" si="79"/>
        <v>2.6399999999999997</v>
      </c>
      <c r="W171" s="195">
        <f t="shared" ca="1" si="106"/>
        <v>159</v>
      </c>
      <c r="X171" s="158">
        <f t="shared" ca="1" si="88"/>
        <v>14172.852194150644</v>
      </c>
      <c r="Y171" s="16">
        <f t="shared" ca="1" si="89"/>
        <v>5968.2400146634636</v>
      </c>
      <c r="Z171" s="164">
        <f t="shared" ca="1" si="90"/>
        <v>1296328.7243589747</v>
      </c>
      <c r="AA171" s="272">
        <f t="shared" ca="1" si="107"/>
        <v>0.22</v>
      </c>
      <c r="AB171" s="16">
        <f t="shared" ca="1" si="91"/>
        <v>12898.059390924658</v>
      </c>
      <c r="AC171" s="16">
        <f t="shared" ca="1" si="92"/>
        <v>12898.059390924682</v>
      </c>
      <c r="AD171" s="197"/>
      <c r="AE171" s="274">
        <f t="shared" ca="1" si="93"/>
        <v>1.6821425527395739E-3</v>
      </c>
      <c r="AF171" s="166">
        <f t="shared" ca="1" si="94"/>
        <v>0.77291629798250727</v>
      </c>
      <c r="AG171" s="16">
        <f t="shared" ca="1" si="95"/>
        <v>9969.1203155919993</v>
      </c>
      <c r="AH171" s="16">
        <f t="shared" ca="1" si="96"/>
        <v>9969.1203155920175</v>
      </c>
      <c r="AI171" s="168">
        <f t="shared" ca="1" si="97"/>
        <v>49</v>
      </c>
      <c r="AJ171" s="158">
        <f t="shared" ca="1" si="98"/>
        <v>49</v>
      </c>
      <c r="AK171" s="16">
        <f t="shared" ca="1" si="99"/>
        <v>-14221.852194150622</v>
      </c>
      <c r="AL171" s="168">
        <f t="shared" ca="1" si="108"/>
        <v>14172.852194150622</v>
      </c>
      <c r="AM171" s="158">
        <f t="shared" ca="1" si="109"/>
        <v>14210.388294871776</v>
      </c>
      <c r="AN171" s="158">
        <f t="shared" ca="1" si="110"/>
        <v>11565.318495863397</v>
      </c>
      <c r="AO171" s="169">
        <f t="shared" ca="1" si="111"/>
        <v>159</v>
      </c>
      <c r="AP171" s="169">
        <f t="shared" ca="1" si="112"/>
        <v>120</v>
      </c>
      <c r="AQ171" s="158">
        <f t="shared" ca="1" si="113"/>
        <v>0</v>
      </c>
      <c r="AR171" s="158">
        <f t="shared" ca="1" si="114"/>
        <v>37.536100721154071</v>
      </c>
      <c r="AS171" s="170"/>
      <c r="AT171" s="159"/>
      <c r="AU171" s="159"/>
    </row>
    <row r="172" spans="1:47" x14ac:dyDescent="0.6">
      <c r="A172" s="171" t="str">
        <f t="shared" ca="1" si="80"/>
        <v>November 2037</v>
      </c>
      <c r="B172" s="191">
        <v>0</v>
      </c>
      <c r="C172" s="269">
        <f t="shared" ca="1" si="100"/>
        <v>5.4899999999999997E-2</v>
      </c>
      <c r="D172" s="173" t="str">
        <f t="shared" ca="1" si="101"/>
        <v/>
      </c>
      <c r="E172" s="174" t="str">
        <f t="shared" ca="1" si="102"/>
        <v/>
      </c>
      <c r="F172" s="175">
        <f t="shared" ca="1" si="103"/>
        <v>49</v>
      </c>
      <c r="G172" s="10">
        <v>155</v>
      </c>
      <c r="H172" s="176">
        <f t="shared" ca="1" si="104"/>
        <v>158</v>
      </c>
      <c r="I172" s="12">
        <f t="shared" ca="1" si="105"/>
        <v>14135.316093429468</v>
      </c>
      <c r="J172" s="12">
        <f t="shared" ca="1" si="81"/>
        <v>5930.7039139423214</v>
      </c>
      <c r="K172" s="177">
        <f t="shared" ca="1" si="82"/>
        <v>8204.6121794871469</v>
      </c>
      <c r="L172" s="177">
        <f t="shared" ca="1" si="83"/>
        <v>1288124.11217949</v>
      </c>
      <c r="M172" s="11">
        <f t="shared" ca="1" si="84"/>
        <v>-1.1823431123048067E-11</v>
      </c>
      <c r="N172" s="12">
        <f ca="1">IF(Y172=0, 0, ROUND(SUM(Y$17:Y172)-SUM(J$17:J172),0))</f>
        <v>0</v>
      </c>
      <c r="O172" s="12" t="str">
        <f t="shared" ca="1" si="85"/>
        <v/>
      </c>
      <c r="P172" s="12">
        <f t="shared" ca="1" si="86"/>
        <v>3710000</v>
      </c>
      <c r="Q172" s="178">
        <f t="shared" ca="1" si="115"/>
        <v>5000000</v>
      </c>
      <c r="R172" s="178">
        <f t="shared" ca="1" si="115"/>
        <v>0</v>
      </c>
      <c r="S172" s="178">
        <f t="shared" ca="1" si="115"/>
        <v>358488</v>
      </c>
      <c r="T172" s="178">
        <f t="shared" ca="1" si="115"/>
        <v>628000</v>
      </c>
      <c r="U172" s="179" t="str">
        <f t="shared" ca="1" si="87"/>
        <v/>
      </c>
      <c r="V172" s="180">
        <f t="shared" ca="1" si="79"/>
        <v>2.63</v>
      </c>
      <c r="W172" s="181">
        <f t="shared" ca="1" si="106"/>
        <v>158</v>
      </c>
      <c r="X172" s="177">
        <f t="shared" ca="1" si="88"/>
        <v>14135.31609342949</v>
      </c>
      <c r="Y172" s="12">
        <f t="shared" ca="1" si="89"/>
        <v>5930.7039139423096</v>
      </c>
      <c r="Z172" s="182">
        <f t="shared" ca="1" si="90"/>
        <v>1288124.1121794875</v>
      </c>
      <c r="AA172" s="271">
        <f t="shared" ca="1" si="107"/>
        <v>0.22</v>
      </c>
      <c r="AB172" s="12">
        <f t="shared" ca="1" si="91"/>
        <v>12868.781232362158</v>
      </c>
      <c r="AC172" s="12">
        <f t="shared" ca="1" si="92"/>
        <v>12868.78123236218</v>
      </c>
      <c r="AD172" s="199"/>
      <c r="AE172" s="273">
        <f t="shared" ca="1" si="93"/>
        <v>1.6821425527395739E-3</v>
      </c>
      <c r="AF172" s="184">
        <f t="shared" ca="1" si="94"/>
        <v>0.77161614258796496</v>
      </c>
      <c r="AG172" s="12">
        <f t="shared" ca="1" si="95"/>
        <v>9929.7593343236858</v>
      </c>
      <c r="AH172" s="12">
        <f t="shared" ca="1" si="96"/>
        <v>9929.759334323704</v>
      </c>
      <c r="AI172" s="185">
        <f t="shared" ca="1" si="97"/>
        <v>49</v>
      </c>
      <c r="AJ172" s="177">
        <f t="shared" ca="1" si="98"/>
        <v>49</v>
      </c>
      <c r="AK172" s="12">
        <f t="shared" ca="1" si="99"/>
        <v>-14184.316093429468</v>
      </c>
      <c r="AL172" s="185">
        <f t="shared" ca="1" si="108"/>
        <v>14135.316093429468</v>
      </c>
      <c r="AM172" s="177">
        <f t="shared" ca="1" si="109"/>
        <v>14172.852194150622</v>
      </c>
      <c r="AN172" s="177">
        <f t="shared" ca="1" si="110"/>
        <v>11542.101838754685</v>
      </c>
      <c r="AO172" s="196">
        <f t="shared" ca="1" si="111"/>
        <v>158</v>
      </c>
      <c r="AP172" s="196">
        <f t="shared" ca="1" si="112"/>
        <v>119</v>
      </c>
      <c r="AQ172" s="177">
        <f t="shared" ca="1" si="113"/>
        <v>0</v>
      </c>
      <c r="AR172" s="177">
        <f t="shared" ca="1" si="114"/>
        <v>37.536100721154071</v>
      </c>
      <c r="AS172" s="189"/>
      <c r="AT172" s="190"/>
      <c r="AU172" s="190"/>
    </row>
    <row r="173" spans="1:47" x14ac:dyDescent="0.6">
      <c r="A173" s="152" t="str">
        <f t="shared" ca="1" si="80"/>
        <v>Desember 2037</v>
      </c>
      <c r="B173" s="191">
        <v>0</v>
      </c>
      <c r="C173" s="270">
        <f t="shared" ca="1" si="100"/>
        <v>5.4899999999999997E-2</v>
      </c>
      <c r="D173" s="192" t="str">
        <f t="shared" ca="1" si="101"/>
        <v/>
      </c>
      <c r="E173" s="193" t="str">
        <f t="shared" ca="1" si="102"/>
        <v/>
      </c>
      <c r="F173" s="194">
        <f t="shared" ca="1" si="103"/>
        <v>49</v>
      </c>
      <c r="G173" s="14">
        <v>156</v>
      </c>
      <c r="H173" s="157">
        <f t="shared" ca="1" si="104"/>
        <v>157</v>
      </c>
      <c r="I173" s="16">
        <f t="shared" ca="1" si="105"/>
        <v>14097.779992708314</v>
      </c>
      <c r="J173" s="16">
        <f t="shared" ca="1" si="81"/>
        <v>5893.1678132211664</v>
      </c>
      <c r="K173" s="158">
        <f t="shared" ca="1" si="82"/>
        <v>8204.6121794871469</v>
      </c>
      <c r="L173" s="158">
        <f t="shared" ca="1" si="83"/>
        <v>1279919.5000000028</v>
      </c>
      <c r="M173" s="15">
        <f t="shared" ca="1" si="84"/>
        <v>-1.0913936421275139E-11</v>
      </c>
      <c r="N173" s="16">
        <f ca="1">IF(Y173=0, 0, ROUND(SUM(Y$17:Y173)-SUM(J$17:J173),0))</f>
        <v>0</v>
      </c>
      <c r="O173" s="16" t="str">
        <f t="shared" ca="1" si="85"/>
        <v/>
      </c>
      <c r="P173" s="16">
        <f t="shared" ca="1" si="86"/>
        <v>3720000</v>
      </c>
      <c r="Q173" s="160">
        <f t="shared" ca="1" si="115"/>
        <v>5000000</v>
      </c>
      <c r="R173" s="160">
        <f t="shared" ca="1" si="115"/>
        <v>0</v>
      </c>
      <c r="S173" s="160">
        <f t="shared" ca="1" si="115"/>
        <v>358488</v>
      </c>
      <c r="T173" s="160">
        <f t="shared" ca="1" si="115"/>
        <v>628000</v>
      </c>
      <c r="U173" s="161" t="str">
        <f t="shared" ca="1" si="87"/>
        <v/>
      </c>
      <c r="V173" s="162">
        <f t="shared" ca="1" si="79"/>
        <v>2.61</v>
      </c>
      <c r="W173" s="195">
        <f t="shared" ca="1" si="106"/>
        <v>157</v>
      </c>
      <c r="X173" s="158">
        <f t="shared" ca="1" si="88"/>
        <v>14097.779992708336</v>
      </c>
      <c r="Y173" s="16">
        <f t="shared" ca="1" si="89"/>
        <v>5893.1678132211555</v>
      </c>
      <c r="Z173" s="164">
        <f t="shared" ca="1" si="90"/>
        <v>1279919.5000000005</v>
      </c>
      <c r="AA173" s="272">
        <f t="shared" ca="1" si="107"/>
        <v>0.22</v>
      </c>
      <c r="AB173" s="16">
        <f t="shared" ca="1" si="91"/>
        <v>12839.503073799657</v>
      </c>
      <c r="AC173" s="16">
        <f t="shared" ca="1" si="92"/>
        <v>12839.503073799682</v>
      </c>
      <c r="AD173" s="197"/>
      <c r="AE173" s="274">
        <f t="shared" ca="1" si="93"/>
        <v>1.6821425527395739E-3</v>
      </c>
      <c r="AF173" s="166">
        <f t="shared" ca="1" si="94"/>
        <v>0.77031817424013693</v>
      </c>
      <c r="AG173" s="16">
        <f t="shared" ca="1" si="95"/>
        <v>9890.5025659599778</v>
      </c>
      <c r="AH173" s="16">
        <f t="shared" ca="1" si="96"/>
        <v>9890.5025659599978</v>
      </c>
      <c r="AI173" s="168">
        <f t="shared" ca="1" si="97"/>
        <v>49</v>
      </c>
      <c r="AJ173" s="158">
        <f t="shared" ca="1" si="98"/>
        <v>49</v>
      </c>
      <c r="AK173" s="16">
        <f t="shared" ca="1" si="99"/>
        <v>-14146.779992708314</v>
      </c>
      <c r="AL173" s="168">
        <f t="shared" ca="1" si="108"/>
        <v>14097.779992708314</v>
      </c>
      <c r="AM173" s="158">
        <f t="shared" ca="1" si="109"/>
        <v>14135.316093429468</v>
      </c>
      <c r="AN173" s="158">
        <f t="shared" ca="1" si="110"/>
        <v>11518.912297246123</v>
      </c>
      <c r="AO173" s="169">
        <f t="shared" ca="1" si="111"/>
        <v>157</v>
      </c>
      <c r="AP173" s="169">
        <f t="shared" ca="1" si="112"/>
        <v>119</v>
      </c>
      <c r="AQ173" s="158">
        <f t="shared" ca="1" si="113"/>
        <v>0</v>
      </c>
      <c r="AR173" s="158">
        <f t="shared" ca="1" si="114"/>
        <v>37.536100721154071</v>
      </c>
      <c r="AS173" s="170"/>
      <c r="AT173" s="159"/>
      <c r="AU173" s="159"/>
    </row>
    <row r="174" spans="1:47" x14ac:dyDescent="0.6">
      <c r="A174" s="171" t="str">
        <f t="shared" ca="1" si="80"/>
        <v>Januar 2038</v>
      </c>
      <c r="B174" s="191">
        <v>0</v>
      </c>
      <c r="C174" s="269">
        <f t="shared" ca="1" si="100"/>
        <v>5.4899999999999997E-2</v>
      </c>
      <c r="D174" s="173" t="str">
        <f t="shared" ca="1" si="101"/>
        <v/>
      </c>
      <c r="E174" s="174" t="str">
        <f t="shared" ca="1" si="102"/>
        <v/>
      </c>
      <c r="F174" s="175">
        <f t="shared" ca="1" si="103"/>
        <v>49</v>
      </c>
      <c r="G174" s="10">
        <v>157</v>
      </c>
      <c r="H174" s="176">
        <f t="shared" ca="1" si="104"/>
        <v>156</v>
      </c>
      <c r="I174" s="12">
        <f t="shared" ca="1" si="105"/>
        <v>14060.24389198716</v>
      </c>
      <c r="J174" s="12">
        <f t="shared" ca="1" si="81"/>
        <v>5855.6317125000123</v>
      </c>
      <c r="K174" s="177">
        <f t="shared" ca="1" si="82"/>
        <v>8204.6121794871469</v>
      </c>
      <c r="L174" s="177">
        <f t="shared" ca="1" si="83"/>
        <v>1271714.8878205155</v>
      </c>
      <c r="M174" s="11">
        <f t="shared" ca="1" si="84"/>
        <v>-1.0004441719502211E-11</v>
      </c>
      <c r="N174" s="12">
        <f ca="1">IF(Y174=0, 0, ROUND(SUM(Y$17:Y174)-SUM(J$17:J174),0))</f>
        <v>0</v>
      </c>
      <c r="O174" s="12" t="str">
        <f t="shared" ca="1" si="85"/>
        <v/>
      </c>
      <c r="P174" s="12" t="str">
        <f t="shared" ca="1" si="86"/>
        <v/>
      </c>
      <c r="Q174" s="178">
        <f t="shared" ca="1" si="115"/>
        <v>5000000</v>
      </c>
      <c r="R174" s="178">
        <f t="shared" ca="1" si="115"/>
        <v>0</v>
      </c>
      <c r="S174" s="178">
        <f t="shared" ca="1" si="115"/>
        <v>358488</v>
      </c>
      <c r="T174" s="178">
        <f t="shared" ca="1" si="115"/>
        <v>628000</v>
      </c>
      <c r="U174" s="179" t="str">
        <f t="shared" ca="1" si="87"/>
        <v/>
      </c>
      <c r="V174" s="180">
        <f t="shared" ca="1" si="79"/>
        <v>2.5999999999999996</v>
      </c>
      <c r="W174" s="181">
        <f t="shared" ca="1" si="106"/>
        <v>156</v>
      </c>
      <c r="X174" s="177">
        <f t="shared" ca="1" si="88"/>
        <v>14060.243891987182</v>
      </c>
      <c r="Y174" s="12">
        <f t="shared" ca="1" si="89"/>
        <v>5855.6317125000023</v>
      </c>
      <c r="Z174" s="182">
        <f t="shared" ca="1" si="90"/>
        <v>1271714.8878205132</v>
      </c>
      <c r="AA174" s="271">
        <f t="shared" ca="1" si="107"/>
        <v>0.22</v>
      </c>
      <c r="AB174" s="12">
        <f t="shared" ca="1" si="91"/>
        <v>12810.224915237157</v>
      </c>
      <c r="AC174" s="12">
        <f t="shared" ca="1" si="92"/>
        <v>12810.224915237181</v>
      </c>
      <c r="AD174" s="199"/>
      <c r="AE174" s="273">
        <f t="shared" ca="1" si="93"/>
        <v>1.6821425527395739E-3</v>
      </c>
      <c r="AF174" s="184">
        <f t="shared" ca="1" si="94"/>
        <v>0.76902238926009892</v>
      </c>
      <c r="AG174" s="12">
        <f t="shared" ca="1" si="95"/>
        <v>9851.3497712749268</v>
      </c>
      <c r="AH174" s="12">
        <f t="shared" ca="1" si="96"/>
        <v>9851.3497712749449</v>
      </c>
      <c r="AI174" s="185">
        <f t="shared" ca="1" si="97"/>
        <v>49</v>
      </c>
      <c r="AJ174" s="177">
        <f t="shared" ca="1" si="98"/>
        <v>49</v>
      </c>
      <c r="AK174" s="12">
        <f t="shared" ca="1" si="99"/>
        <v>-14109.24389198716</v>
      </c>
      <c r="AL174" s="185">
        <f t="shared" ca="1" si="108"/>
        <v>14060.24389198716</v>
      </c>
      <c r="AM174" s="177">
        <f t="shared" ca="1" si="109"/>
        <v>14097.779992708314</v>
      </c>
      <c r="AN174" s="177">
        <f t="shared" ca="1" si="110"/>
        <v>11495.749888966719</v>
      </c>
      <c r="AO174" s="196">
        <f t="shared" ca="1" si="111"/>
        <v>156</v>
      </c>
      <c r="AP174" s="196">
        <f t="shared" ca="1" si="112"/>
        <v>118</v>
      </c>
      <c r="AQ174" s="177">
        <f t="shared" ca="1" si="113"/>
        <v>0</v>
      </c>
      <c r="AR174" s="177">
        <f t="shared" ca="1" si="114"/>
        <v>37.536100721154071</v>
      </c>
      <c r="AS174" s="189"/>
      <c r="AT174" s="190"/>
      <c r="AU174" s="190"/>
    </row>
    <row r="175" spans="1:47" x14ac:dyDescent="0.6">
      <c r="A175" s="152" t="str">
        <f t="shared" ca="1" si="80"/>
        <v>Februar 2038</v>
      </c>
      <c r="B175" s="191">
        <v>0</v>
      </c>
      <c r="C175" s="270">
        <f t="shared" ca="1" si="100"/>
        <v>5.4899999999999997E-2</v>
      </c>
      <c r="D175" s="192" t="str">
        <f t="shared" ca="1" si="101"/>
        <v/>
      </c>
      <c r="E175" s="193" t="str">
        <f t="shared" ca="1" si="102"/>
        <v/>
      </c>
      <c r="F175" s="194">
        <f t="shared" ca="1" si="103"/>
        <v>49</v>
      </c>
      <c r="G175" s="14">
        <v>158</v>
      </c>
      <c r="H175" s="157">
        <f t="shared" ca="1" si="104"/>
        <v>155</v>
      </c>
      <c r="I175" s="16">
        <f t="shared" ca="1" si="105"/>
        <v>14022.707791266006</v>
      </c>
      <c r="J175" s="16">
        <f t="shared" ca="1" si="81"/>
        <v>5818.0956117788583</v>
      </c>
      <c r="K175" s="158">
        <f t="shared" ca="1" si="82"/>
        <v>8204.6121794871469</v>
      </c>
      <c r="L175" s="158">
        <f t="shared" ca="1" si="83"/>
        <v>1263510.2756410283</v>
      </c>
      <c r="M175" s="15">
        <f t="shared" ca="1" si="84"/>
        <v>-1.0004441719502211E-11</v>
      </c>
      <c r="N175" s="16">
        <f ca="1">IF(Y175=0, 0, ROUND(SUM(Y$17:Y175)-SUM(J$17:J175),0))</f>
        <v>0</v>
      </c>
      <c r="O175" s="16" t="str">
        <f t="shared" ca="1" si="85"/>
        <v/>
      </c>
      <c r="P175" s="16">
        <f t="shared" ca="1" si="86"/>
        <v>3730000</v>
      </c>
      <c r="Q175" s="160">
        <f t="shared" ca="1" si="115"/>
        <v>5000000</v>
      </c>
      <c r="R175" s="160">
        <f t="shared" ca="1" si="115"/>
        <v>0</v>
      </c>
      <c r="S175" s="160">
        <f t="shared" ca="1" si="115"/>
        <v>358488</v>
      </c>
      <c r="T175" s="160">
        <f t="shared" ca="1" si="115"/>
        <v>628000</v>
      </c>
      <c r="U175" s="161" t="str">
        <f t="shared" ca="1" si="87"/>
        <v/>
      </c>
      <c r="V175" s="162">
        <f t="shared" ca="1" si="79"/>
        <v>2.59</v>
      </c>
      <c r="W175" s="195">
        <f t="shared" ca="1" si="106"/>
        <v>155</v>
      </c>
      <c r="X175" s="158">
        <f t="shared" ca="1" si="88"/>
        <v>14022.707791266028</v>
      </c>
      <c r="Y175" s="16">
        <f t="shared" ca="1" si="89"/>
        <v>5818.0956117788483</v>
      </c>
      <c r="Z175" s="164">
        <f t="shared" ca="1" si="90"/>
        <v>1263510.275641026</v>
      </c>
      <c r="AA175" s="272">
        <f t="shared" ca="1" si="107"/>
        <v>0.22</v>
      </c>
      <c r="AB175" s="16">
        <f t="shared" ca="1" si="91"/>
        <v>12780.946756674657</v>
      </c>
      <c r="AC175" s="16">
        <f t="shared" ca="1" si="92"/>
        <v>12780.946756674683</v>
      </c>
      <c r="AD175" s="197"/>
      <c r="AE175" s="274">
        <f t="shared" ca="1" si="93"/>
        <v>1.6821425527395739E-3</v>
      </c>
      <c r="AF175" s="166">
        <f t="shared" ca="1" si="94"/>
        <v>0.76772878397511501</v>
      </c>
      <c r="AG175" s="16">
        <f t="shared" ca="1" si="95"/>
        <v>9812.3007115525252</v>
      </c>
      <c r="AH175" s="16">
        <f t="shared" ca="1" si="96"/>
        <v>9812.3007115525434</v>
      </c>
      <c r="AI175" s="168">
        <f t="shared" ca="1" si="97"/>
        <v>49</v>
      </c>
      <c r="AJ175" s="158">
        <f t="shared" ca="1" si="98"/>
        <v>49</v>
      </c>
      <c r="AK175" s="16">
        <f t="shared" ca="1" si="99"/>
        <v>-14071.707791266006</v>
      </c>
      <c r="AL175" s="168">
        <f t="shared" ca="1" si="108"/>
        <v>14022.707791266006</v>
      </c>
      <c r="AM175" s="158">
        <f t="shared" ca="1" si="109"/>
        <v>14060.24389198716</v>
      </c>
      <c r="AN175" s="158">
        <f t="shared" ca="1" si="110"/>
        <v>11472.614631447059</v>
      </c>
      <c r="AO175" s="169">
        <f t="shared" ca="1" si="111"/>
        <v>155</v>
      </c>
      <c r="AP175" s="169">
        <f t="shared" ca="1" si="112"/>
        <v>118</v>
      </c>
      <c r="AQ175" s="158">
        <f t="shared" ca="1" si="113"/>
        <v>0</v>
      </c>
      <c r="AR175" s="158">
        <f t="shared" ca="1" si="114"/>
        <v>37.536100721154071</v>
      </c>
      <c r="AS175" s="170"/>
      <c r="AT175" s="159"/>
      <c r="AU175" s="159"/>
    </row>
    <row r="176" spans="1:47" x14ac:dyDescent="0.6">
      <c r="A176" s="171" t="str">
        <f t="shared" ca="1" si="80"/>
        <v>Mars 2038</v>
      </c>
      <c r="B176" s="191">
        <v>0</v>
      </c>
      <c r="C176" s="269">
        <f t="shared" ca="1" si="100"/>
        <v>5.4899999999999997E-2</v>
      </c>
      <c r="D176" s="173" t="str">
        <f t="shared" ca="1" si="101"/>
        <v/>
      </c>
      <c r="E176" s="174" t="str">
        <f t="shared" ca="1" si="102"/>
        <v/>
      </c>
      <c r="F176" s="175">
        <f t="shared" ca="1" si="103"/>
        <v>49</v>
      </c>
      <c r="G176" s="10">
        <v>159</v>
      </c>
      <c r="H176" s="176">
        <f t="shared" ca="1" si="104"/>
        <v>154</v>
      </c>
      <c r="I176" s="12">
        <f t="shared" ca="1" si="105"/>
        <v>13985.171690544852</v>
      </c>
      <c r="J176" s="12">
        <f t="shared" ca="1" si="81"/>
        <v>5780.5595110577042</v>
      </c>
      <c r="K176" s="177">
        <f t="shared" ca="1" si="82"/>
        <v>8204.6121794871469</v>
      </c>
      <c r="L176" s="177">
        <f t="shared" ca="1" si="83"/>
        <v>1255305.6634615411</v>
      </c>
      <c r="M176" s="11">
        <f t="shared" ca="1" si="84"/>
        <v>-1.0913936421275139E-11</v>
      </c>
      <c r="N176" s="12">
        <f ca="1">IF(Y176=0, 0, ROUND(SUM(Y$17:Y176)-SUM(J$17:J176),0))</f>
        <v>0</v>
      </c>
      <c r="O176" s="12" t="str">
        <f t="shared" ca="1" si="85"/>
        <v/>
      </c>
      <c r="P176" s="12">
        <f t="shared" ca="1" si="86"/>
        <v>3740000</v>
      </c>
      <c r="Q176" s="178">
        <f t="shared" ca="1" si="115"/>
        <v>5000000</v>
      </c>
      <c r="R176" s="178">
        <f t="shared" ca="1" si="115"/>
        <v>0</v>
      </c>
      <c r="S176" s="178">
        <f t="shared" ca="1" si="115"/>
        <v>358488</v>
      </c>
      <c r="T176" s="178">
        <f t="shared" ca="1" si="115"/>
        <v>628000</v>
      </c>
      <c r="U176" s="179" t="str">
        <f t="shared" ca="1" si="87"/>
        <v/>
      </c>
      <c r="V176" s="180">
        <f t="shared" ca="1" si="79"/>
        <v>2.57</v>
      </c>
      <c r="W176" s="181">
        <f t="shared" ca="1" si="106"/>
        <v>154</v>
      </c>
      <c r="X176" s="177">
        <f t="shared" ca="1" si="88"/>
        <v>13985.171690544874</v>
      </c>
      <c r="Y176" s="12">
        <f t="shared" ca="1" si="89"/>
        <v>5780.5595110576933</v>
      </c>
      <c r="Z176" s="182">
        <f t="shared" ca="1" si="90"/>
        <v>1255305.663461539</v>
      </c>
      <c r="AA176" s="271">
        <f t="shared" ca="1" si="107"/>
        <v>0.22</v>
      </c>
      <c r="AB176" s="12">
        <f t="shared" ca="1" si="91"/>
        <v>12751.668598112155</v>
      </c>
      <c r="AC176" s="12">
        <f t="shared" ca="1" si="92"/>
        <v>12751.668598112181</v>
      </c>
      <c r="AD176" s="199"/>
      <c r="AE176" s="273">
        <f t="shared" ca="1" si="93"/>
        <v>1.6821425527395739E-3</v>
      </c>
      <c r="AF176" s="184">
        <f t="shared" ca="1" si="94"/>
        <v>0.76643735471862751</v>
      </c>
      <c r="AG176" s="12">
        <f t="shared" ca="1" si="95"/>
        <v>9773.3551485856697</v>
      </c>
      <c r="AH176" s="12">
        <f t="shared" ca="1" si="96"/>
        <v>9773.3551485856897</v>
      </c>
      <c r="AI176" s="185">
        <f t="shared" ca="1" si="97"/>
        <v>49</v>
      </c>
      <c r="AJ176" s="177">
        <f t="shared" ca="1" si="98"/>
        <v>49</v>
      </c>
      <c r="AK176" s="12">
        <f t="shared" ca="1" si="99"/>
        <v>-14034.171690544852</v>
      </c>
      <c r="AL176" s="185">
        <f t="shared" ca="1" si="108"/>
        <v>13985.171690544852</v>
      </c>
      <c r="AM176" s="177">
        <f t="shared" ca="1" si="109"/>
        <v>14022.707791266006</v>
      </c>
      <c r="AN176" s="177">
        <f t="shared" ca="1" si="110"/>
        <v>11449.506542119056</v>
      </c>
      <c r="AO176" s="196">
        <f t="shared" ca="1" si="111"/>
        <v>154</v>
      </c>
      <c r="AP176" s="196">
        <f t="shared" ca="1" si="112"/>
        <v>117</v>
      </c>
      <c r="AQ176" s="177">
        <f t="shared" ca="1" si="113"/>
        <v>0</v>
      </c>
      <c r="AR176" s="177">
        <f t="shared" ca="1" si="114"/>
        <v>37.536100721154071</v>
      </c>
      <c r="AS176" s="189"/>
      <c r="AT176" s="190"/>
      <c r="AU176" s="190"/>
    </row>
    <row r="177" spans="1:47" x14ac:dyDescent="0.6">
      <c r="A177" s="152" t="str">
        <f t="shared" ca="1" si="80"/>
        <v>April 2038</v>
      </c>
      <c r="B177" s="191">
        <v>0</v>
      </c>
      <c r="C177" s="270">
        <f t="shared" ca="1" si="100"/>
        <v>5.4899999999999997E-2</v>
      </c>
      <c r="D177" s="192" t="str">
        <f t="shared" ca="1" si="101"/>
        <v/>
      </c>
      <c r="E177" s="193" t="str">
        <f t="shared" ca="1" si="102"/>
        <v/>
      </c>
      <c r="F177" s="194">
        <f t="shared" ca="1" si="103"/>
        <v>49</v>
      </c>
      <c r="G177" s="14">
        <v>160</v>
      </c>
      <c r="H177" s="157">
        <f t="shared" ca="1" si="104"/>
        <v>153</v>
      </c>
      <c r="I177" s="16">
        <f t="shared" ca="1" si="105"/>
        <v>13947.635589823698</v>
      </c>
      <c r="J177" s="16">
        <f t="shared" ca="1" si="81"/>
        <v>5743.0234103365501</v>
      </c>
      <c r="K177" s="158">
        <f t="shared" ca="1" si="82"/>
        <v>8204.6121794871469</v>
      </c>
      <c r="L177" s="158">
        <f t="shared" ca="1" si="83"/>
        <v>1247101.0512820538</v>
      </c>
      <c r="M177" s="15">
        <f t="shared" ca="1" si="84"/>
        <v>-1.0004441719502211E-11</v>
      </c>
      <c r="N177" s="16">
        <f ca="1">IF(Y177=0, 0, ROUND(SUM(Y$17:Y177)-SUM(J$17:J177),0))</f>
        <v>0</v>
      </c>
      <c r="O177" s="16" t="str">
        <f t="shared" ca="1" si="85"/>
        <v/>
      </c>
      <c r="P177" s="16">
        <f t="shared" ca="1" si="86"/>
        <v>3750000</v>
      </c>
      <c r="Q177" s="160">
        <f t="shared" ca="1" si="115"/>
        <v>5000000</v>
      </c>
      <c r="R177" s="160">
        <f t="shared" ca="1" si="115"/>
        <v>0</v>
      </c>
      <c r="S177" s="160">
        <f t="shared" ca="1" si="115"/>
        <v>358488</v>
      </c>
      <c r="T177" s="160">
        <f t="shared" ca="1" si="115"/>
        <v>628000</v>
      </c>
      <c r="U177" s="161" t="str">
        <f t="shared" ca="1" si="87"/>
        <v/>
      </c>
      <c r="V177" s="162">
        <f t="shared" ca="1" si="79"/>
        <v>2.5599999999999996</v>
      </c>
      <c r="W177" s="195">
        <f t="shared" ca="1" si="106"/>
        <v>153</v>
      </c>
      <c r="X177" s="158">
        <f t="shared" ca="1" si="88"/>
        <v>13947.63558982372</v>
      </c>
      <c r="Y177" s="16">
        <f t="shared" ca="1" si="89"/>
        <v>5743.0234103365401</v>
      </c>
      <c r="Z177" s="164">
        <f t="shared" ca="1" si="90"/>
        <v>1247101.0512820517</v>
      </c>
      <c r="AA177" s="272">
        <f t="shared" ca="1" si="107"/>
        <v>0.22</v>
      </c>
      <c r="AB177" s="16">
        <f t="shared" ca="1" si="91"/>
        <v>12722.390439549657</v>
      </c>
      <c r="AC177" s="16">
        <f t="shared" ca="1" si="92"/>
        <v>12722.390439549681</v>
      </c>
      <c r="AD177" s="197"/>
      <c r="AE177" s="274">
        <f t="shared" ca="1" si="93"/>
        <v>1.6821425527395739E-3</v>
      </c>
      <c r="AF177" s="166">
        <f t="shared" ca="1" si="94"/>
        <v>0.76514809783024618</v>
      </c>
      <c r="AG177" s="16">
        <f t="shared" ca="1" si="95"/>
        <v>9734.5128446751296</v>
      </c>
      <c r="AH177" s="16">
        <f t="shared" ca="1" si="96"/>
        <v>9734.5128446751478</v>
      </c>
      <c r="AI177" s="168">
        <f t="shared" ca="1" si="97"/>
        <v>49</v>
      </c>
      <c r="AJ177" s="158">
        <f t="shared" ca="1" si="98"/>
        <v>49</v>
      </c>
      <c r="AK177" s="16">
        <f t="shared" ca="1" si="99"/>
        <v>-13996.635589823698</v>
      </c>
      <c r="AL177" s="168">
        <f t="shared" ca="1" si="108"/>
        <v>13947.635589823698</v>
      </c>
      <c r="AM177" s="158">
        <f t="shared" ca="1" si="109"/>
        <v>13985.171690544852</v>
      </c>
      <c r="AN177" s="158">
        <f t="shared" ca="1" si="110"/>
        <v>11426.425638315706</v>
      </c>
      <c r="AO177" s="169">
        <f t="shared" ca="1" si="111"/>
        <v>153</v>
      </c>
      <c r="AP177" s="169">
        <f t="shared" ca="1" si="112"/>
        <v>116</v>
      </c>
      <c r="AQ177" s="158">
        <f t="shared" ca="1" si="113"/>
        <v>0</v>
      </c>
      <c r="AR177" s="158">
        <f t="shared" ca="1" si="114"/>
        <v>37.536100721154071</v>
      </c>
      <c r="AS177" s="170"/>
      <c r="AT177" s="159"/>
      <c r="AU177" s="159"/>
    </row>
    <row r="178" spans="1:47" x14ac:dyDescent="0.6">
      <c r="A178" s="171" t="str">
        <f t="shared" ca="1" si="80"/>
        <v>Mai 2038</v>
      </c>
      <c r="B178" s="191">
        <v>0</v>
      </c>
      <c r="C178" s="269">
        <f t="shared" ca="1" si="100"/>
        <v>5.4899999999999997E-2</v>
      </c>
      <c r="D178" s="173" t="str">
        <f t="shared" ca="1" si="101"/>
        <v/>
      </c>
      <c r="E178" s="174" t="str">
        <f t="shared" ca="1" si="102"/>
        <v/>
      </c>
      <c r="F178" s="175">
        <f t="shared" ca="1" si="103"/>
        <v>49</v>
      </c>
      <c r="G178" s="10">
        <v>161</v>
      </c>
      <c r="H178" s="176">
        <f t="shared" ca="1" si="104"/>
        <v>152</v>
      </c>
      <c r="I178" s="12">
        <f t="shared" ca="1" si="105"/>
        <v>13910.099489102544</v>
      </c>
      <c r="J178" s="12">
        <f t="shared" ca="1" si="81"/>
        <v>5705.487309615396</v>
      </c>
      <c r="K178" s="177">
        <f t="shared" ca="1" si="82"/>
        <v>8204.6121794871469</v>
      </c>
      <c r="L178" s="177">
        <f t="shared" ca="1" si="83"/>
        <v>1238896.4391025666</v>
      </c>
      <c r="M178" s="11">
        <f t="shared" ca="1" si="84"/>
        <v>-1.0004441719502211E-11</v>
      </c>
      <c r="N178" s="12">
        <f ca="1">IF(Y178=0, 0, ROUND(SUM(Y$17:Y178)-SUM(J$17:J178),0))</f>
        <v>0</v>
      </c>
      <c r="O178" s="12" t="str">
        <f t="shared" ca="1" si="85"/>
        <v/>
      </c>
      <c r="P178" s="12">
        <f t="shared" ca="1" si="86"/>
        <v>3760000</v>
      </c>
      <c r="Q178" s="178">
        <f t="shared" ref="Q178:T197" ca="1" si="116">OFFSET(Q178,-1,0,1,1)</f>
        <v>5000000</v>
      </c>
      <c r="R178" s="178">
        <f t="shared" ca="1" si="116"/>
        <v>0</v>
      </c>
      <c r="S178" s="178">
        <f t="shared" ca="1" si="116"/>
        <v>358488</v>
      </c>
      <c r="T178" s="178">
        <f t="shared" ca="1" si="116"/>
        <v>628000</v>
      </c>
      <c r="U178" s="179" t="str">
        <f t="shared" ca="1" si="87"/>
        <v/>
      </c>
      <c r="V178" s="180">
        <f t="shared" ca="1" si="79"/>
        <v>2.5499999999999998</v>
      </c>
      <c r="W178" s="181">
        <f t="shared" ca="1" si="106"/>
        <v>152</v>
      </c>
      <c r="X178" s="177">
        <f t="shared" ca="1" si="88"/>
        <v>13910.099489102566</v>
      </c>
      <c r="Y178" s="12">
        <f t="shared" ca="1" si="89"/>
        <v>5705.487309615386</v>
      </c>
      <c r="Z178" s="182">
        <f t="shared" ca="1" si="90"/>
        <v>1238896.4391025645</v>
      </c>
      <c r="AA178" s="271">
        <f t="shared" ca="1" si="107"/>
        <v>0.22</v>
      </c>
      <c r="AB178" s="12">
        <f t="shared" ca="1" si="91"/>
        <v>12693.112280987156</v>
      </c>
      <c r="AC178" s="12">
        <f t="shared" ca="1" si="92"/>
        <v>12693.112280987181</v>
      </c>
      <c r="AD178" s="199"/>
      <c r="AE178" s="273">
        <f t="shared" ca="1" si="93"/>
        <v>1.6821425527395739E-3</v>
      </c>
      <c r="AF178" s="184">
        <f t="shared" ca="1" si="94"/>
        <v>0.76386100965573822</v>
      </c>
      <c r="AG178" s="12">
        <f t="shared" ca="1" si="95"/>
        <v>9695.7735626284993</v>
      </c>
      <c r="AH178" s="12">
        <f t="shared" ca="1" si="96"/>
        <v>9695.7735626285194</v>
      </c>
      <c r="AI178" s="185">
        <f t="shared" ca="1" si="97"/>
        <v>49</v>
      </c>
      <c r="AJ178" s="177">
        <f t="shared" ca="1" si="98"/>
        <v>49</v>
      </c>
      <c r="AK178" s="12">
        <f t="shared" ca="1" si="99"/>
        <v>-13959.099489102544</v>
      </c>
      <c r="AL178" s="185">
        <f t="shared" ca="1" si="108"/>
        <v>13910.099489102544</v>
      </c>
      <c r="AM178" s="177">
        <f t="shared" ca="1" si="109"/>
        <v>13947.635589823698</v>
      </c>
      <c r="AN178" s="177">
        <f t="shared" ca="1" si="110"/>
        <v>11403.37193727084</v>
      </c>
      <c r="AO178" s="196">
        <f t="shared" ca="1" si="111"/>
        <v>152</v>
      </c>
      <c r="AP178" s="196">
        <f t="shared" ca="1" si="112"/>
        <v>116</v>
      </c>
      <c r="AQ178" s="177">
        <f t="shared" ca="1" si="113"/>
        <v>0</v>
      </c>
      <c r="AR178" s="177">
        <f t="shared" ca="1" si="114"/>
        <v>37.536100721154071</v>
      </c>
      <c r="AS178" s="189"/>
      <c r="AT178" s="190"/>
      <c r="AU178" s="190"/>
    </row>
    <row r="179" spans="1:47" x14ac:dyDescent="0.6">
      <c r="A179" s="152" t="str">
        <f t="shared" ca="1" si="80"/>
        <v>Juni 2038</v>
      </c>
      <c r="B179" s="191">
        <v>0</v>
      </c>
      <c r="C179" s="270">
        <f t="shared" ca="1" si="100"/>
        <v>5.4899999999999997E-2</v>
      </c>
      <c r="D179" s="192" t="str">
        <f t="shared" ca="1" si="101"/>
        <v/>
      </c>
      <c r="E179" s="193" t="str">
        <f t="shared" ca="1" si="102"/>
        <v/>
      </c>
      <c r="F179" s="194">
        <f t="shared" ca="1" si="103"/>
        <v>49</v>
      </c>
      <c r="G179" s="14">
        <v>162</v>
      </c>
      <c r="H179" s="157">
        <f t="shared" ca="1" si="104"/>
        <v>151</v>
      </c>
      <c r="I179" s="16">
        <f t="shared" ca="1" si="105"/>
        <v>13872.56338838139</v>
      </c>
      <c r="J179" s="16">
        <f t="shared" ca="1" si="81"/>
        <v>5667.951208894242</v>
      </c>
      <c r="K179" s="158">
        <f t="shared" ca="1" si="82"/>
        <v>8204.6121794871469</v>
      </c>
      <c r="L179" s="158">
        <f t="shared" ca="1" si="83"/>
        <v>1230691.8269230793</v>
      </c>
      <c r="M179" s="15">
        <f t="shared" ca="1" si="84"/>
        <v>-1.0004441719502211E-11</v>
      </c>
      <c r="N179" s="16">
        <f ca="1">IF(Y179=0, 0, ROUND(SUM(Y$17:Y179)-SUM(J$17:J179),0))</f>
        <v>0</v>
      </c>
      <c r="O179" s="16" t="str">
        <f t="shared" ca="1" si="85"/>
        <v/>
      </c>
      <c r="P179" s="16" t="str">
        <f t="shared" ca="1" si="86"/>
        <v/>
      </c>
      <c r="Q179" s="160">
        <f t="shared" ca="1" si="116"/>
        <v>5000000</v>
      </c>
      <c r="R179" s="160">
        <f t="shared" ca="1" si="116"/>
        <v>0</v>
      </c>
      <c r="S179" s="160">
        <f t="shared" ca="1" si="116"/>
        <v>358488</v>
      </c>
      <c r="T179" s="160">
        <f t="shared" ca="1" si="116"/>
        <v>628000</v>
      </c>
      <c r="U179" s="161" t="str">
        <f t="shared" ca="1" si="87"/>
        <v/>
      </c>
      <c r="V179" s="162">
        <f t="shared" ca="1" si="79"/>
        <v>2.5399999999999996</v>
      </c>
      <c r="W179" s="195">
        <f t="shared" ca="1" si="106"/>
        <v>151</v>
      </c>
      <c r="X179" s="158">
        <f t="shared" ca="1" si="88"/>
        <v>13872.563388381412</v>
      </c>
      <c r="Y179" s="16">
        <f t="shared" ca="1" si="89"/>
        <v>5667.951208894232</v>
      </c>
      <c r="Z179" s="164">
        <f t="shared" ca="1" si="90"/>
        <v>1230691.8269230772</v>
      </c>
      <c r="AA179" s="272">
        <f t="shared" ca="1" si="107"/>
        <v>0.22</v>
      </c>
      <c r="AB179" s="16">
        <f t="shared" ca="1" si="91"/>
        <v>12663.834122424656</v>
      </c>
      <c r="AC179" s="16">
        <f t="shared" ca="1" si="92"/>
        <v>12663.83412242468</v>
      </c>
      <c r="AD179" s="197"/>
      <c r="AE179" s="274">
        <f t="shared" ca="1" si="93"/>
        <v>1.6821425527395739E-3</v>
      </c>
      <c r="AF179" s="166">
        <f t="shared" ca="1" si="94"/>
        <v>0.7625760865470177</v>
      </c>
      <c r="AG179" s="16">
        <f t="shared" ca="1" si="95"/>
        <v>9657.1370657591797</v>
      </c>
      <c r="AH179" s="16">
        <f t="shared" ca="1" si="96"/>
        <v>9657.1370657591979</v>
      </c>
      <c r="AI179" s="168">
        <f t="shared" ca="1" si="97"/>
        <v>49</v>
      </c>
      <c r="AJ179" s="158">
        <f t="shared" ca="1" si="98"/>
        <v>49</v>
      </c>
      <c r="AK179" s="16">
        <f t="shared" ca="1" si="99"/>
        <v>-13921.56338838139</v>
      </c>
      <c r="AL179" s="168">
        <f t="shared" ca="1" si="108"/>
        <v>13872.56338838139</v>
      </c>
      <c r="AM179" s="158">
        <f t="shared" ca="1" si="109"/>
        <v>13910.099489102544</v>
      </c>
      <c r="AN179" s="158">
        <f t="shared" ca="1" si="110"/>
        <v>11380.345456118885</v>
      </c>
      <c r="AO179" s="169">
        <f t="shared" ca="1" si="111"/>
        <v>151</v>
      </c>
      <c r="AP179" s="169">
        <f t="shared" ca="1" si="112"/>
        <v>115</v>
      </c>
      <c r="AQ179" s="158">
        <f t="shared" ca="1" si="113"/>
        <v>0</v>
      </c>
      <c r="AR179" s="158">
        <f t="shared" ca="1" si="114"/>
        <v>37.536100721154071</v>
      </c>
      <c r="AS179" s="170"/>
      <c r="AT179" s="159"/>
      <c r="AU179" s="159"/>
    </row>
    <row r="180" spans="1:47" x14ac:dyDescent="0.6">
      <c r="A180" s="171" t="str">
        <f t="shared" ca="1" si="80"/>
        <v>Juli 2038</v>
      </c>
      <c r="B180" s="191">
        <v>0</v>
      </c>
      <c r="C180" s="269">
        <f t="shared" ca="1" si="100"/>
        <v>5.4899999999999997E-2</v>
      </c>
      <c r="D180" s="173" t="str">
        <f t="shared" ca="1" si="101"/>
        <v/>
      </c>
      <c r="E180" s="174" t="str">
        <f t="shared" ca="1" si="102"/>
        <v/>
      </c>
      <c r="F180" s="175">
        <f t="shared" ca="1" si="103"/>
        <v>49</v>
      </c>
      <c r="G180" s="10">
        <v>163</v>
      </c>
      <c r="H180" s="176">
        <f t="shared" ca="1" si="104"/>
        <v>150</v>
      </c>
      <c r="I180" s="12">
        <f t="shared" ca="1" si="105"/>
        <v>13835.027287660236</v>
      </c>
      <c r="J180" s="12">
        <f t="shared" ca="1" si="81"/>
        <v>5630.4151081730879</v>
      </c>
      <c r="K180" s="177">
        <f t="shared" ca="1" si="82"/>
        <v>8204.6121794871469</v>
      </c>
      <c r="L180" s="177">
        <f t="shared" ca="1" si="83"/>
        <v>1222487.2147435921</v>
      </c>
      <c r="M180" s="11">
        <f t="shared" ca="1" si="84"/>
        <v>-1.0004441719502211E-11</v>
      </c>
      <c r="N180" s="12">
        <f ca="1">IF(Y180=0, 0, ROUND(SUM(Y$17:Y180)-SUM(J$17:J180),0))</f>
        <v>0</v>
      </c>
      <c r="O180" s="12" t="str">
        <f t="shared" ca="1" si="85"/>
        <v/>
      </c>
      <c r="P180" s="12">
        <f t="shared" ca="1" si="86"/>
        <v>3770000</v>
      </c>
      <c r="Q180" s="178">
        <f t="shared" ca="1" si="116"/>
        <v>5000000</v>
      </c>
      <c r="R180" s="178">
        <f t="shared" ca="1" si="116"/>
        <v>0</v>
      </c>
      <c r="S180" s="178">
        <f t="shared" ca="1" si="116"/>
        <v>358488</v>
      </c>
      <c r="T180" s="178">
        <f t="shared" ca="1" si="116"/>
        <v>628000</v>
      </c>
      <c r="U180" s="179" t="str">
        <f t="shared" ca="1" si="87"/>
        <v/>
      </c>
      <c r="V180" s="180">
        <f t="shared" ca="1" si="79"/>
        <v>2.5199999999999996</v>
      </c>
      <c r="W180" s="181">
        <f t="shared" ca="1" si="106"/>
        <v>150</v>
      </c>
      <c r="X180" s="177">
        <f t="shared" ca="1" si="88"/>
        <v>13835.027287660258</v>
      </c>
      <c r="Y180" s="12">
        <f t="shared" ca="1" si="89"/>
        <v>5630.4151081730779</v>
      </c>
      <c r="Z180" s="182">
        <f t="shared" ca="1" si="90"/>
        <v>1222487.2147435902</v>
      </c>
      <c r="AA180" s="271">
        <f t="shared" ca="1" si="107"/>
        <v>0.22</v>
      </c>
      <c r="AB180" s="12">
        <f t="shared" ca="1" si="91"/>
        <v>12634.555963862156</v>
      </c>
      <c r="AC180" s="12">
        <f t="shared" ca="1" si="92"/>
        <v>12634.555963862182</v>
      </c>
      <c r="AD180" s="199"/>
      <c r="AE180" s="273">
        <f t="shared" ca="1" si="93"/>
        <v>1.6821425527395739E-3</v>
      </c>
      <c r="AF180" s="184">
        <f t="shared" ca="1" si="94"/>
        <v>0.7612933248621353</v>
      </c>
      <c r="AG180" s="12">
        <f t="shared" ca="1" si="95"/>
        <v>9618.6031178853409</v>
      </c>
      <c r="AH180" s="12">
        <f t="shared" ca="1" si="96"/>
        <v>9618.6031178853609</v>
      </c>
      <c r="AI180" s="185">
        <f t="shared" ca="1" si="97"/>
        <v>49</v>
      </c>
      <c r="AJ180" s="177">
        <f t="shared" ca="1" si="98"/>
        <v>49</v>
      </c>
      <c r="AK180" s="12">
        <f t="shared" ca="1" si="99"/>
        <v>-13884.027287660236</v>
      </c>
      <c r="AL180" s="185">
        <f t="shared" ca="1" si="108"/>
        <v>13835.027287660236</v>
      </c>
      <c r="AM180" s="177">
        <f t="shared" ca="1" si="109"/>
        <v>13872.56338838139</v>
      </c>
      <c r="AN180" s="177">
        <f t="shared" ca="1" si="110"/>
        <v>11357.346211894632</v>
      </c>
      <c r="AO180" s="196">
        <f t="shared" ca="1" si="111"/>
        <v>150</v>
      </c>
      <c r="AP180" s="196">
        <f t="shared" ca="1" si="112"/>
        <v>115</v>
      </c>
      <c r="AQ180" s="177">
        <f t="shared" ca="1" si="113"/>
        <v>0</v>
      </c>
      <c r="AR180" s="177">
        <f t="shared" ca="1" si="114"/>
        <v>37.536100721154071</v>
      </c>
      <c r="AS180" s="189"/>
      <c r="AT180" s="190"/>
      <c r="AU180" s="190"/>
    </row>
    <row r="181" spans="1:47" x14ac:dyDescent="0.6">
      <c r="A181" s="152" t="str">
        <f t="shared" ca="1" si="80"/>
        <v>August 2038</v>
      </c>
      <c r="B181" s="191">
        <v>0</v>
      </c>
      <c r="C181" s="270">
        <f t="shared" ca="1" si="100"/>
        <v>5.4899999999999997E-2</v>
      </c>
      <c r="D181" s="192" t="str">
        <f t="shared" ca="1" si="101"/>
        <v/>
      </c>
      <c r="E181" s="193" t="str">
        <f t="shared" ca="1" si="102"/>
        <v/>
      </c>
      <c r="F181" s="194">
        <f t="shared" ca="1" si="103"/>
        <v>49</v>
      </c>
      <c r="G181" s="14">
        <v>164</v>
      </c>
      <c r="H181" s="157">
        <f t="shared" ca="1" si="104"/>
        <v>149</v>
      </c>
      <c r="I181" s="16">
        <f t="shared" ca="1" si="105"/>
        <v>13797.491186939082</v>
      </c>
      <c r="J181" s="16">
        <f t="shared" ca="1" si="81"/>
        <v>5592.8790074519338</v>
      </c>
      <c r="K181" s="158">
        <f t="shared" ca="1" si="82"/>
        <v>8204.6121794871469</v>
      </c>
      <c r="L181" s="158">
        <f t="shared" ca="1" si="83"/>
        <v>1214282.6025641048</v>
      </c>
      <c r="M181" s="15">
        <f t="shared" ca="1" si="84"/>
        <v>-9.0949470177292824E-12</v>
      </c>
      <c r="N181" s="16">
        <f ca="1">IF(Y181=0, 0, ROUND(SUM(Y$17:Y181)-SUM(J$17:J181),0))</f>
        <v>0</v>
      </c>
      <c r="O181" s="16" t="str">
        <f t="shared" ca="1" si="85"/>
        <v/>
      </c>
      <c r="P181" s="16">
        <f t="shared" ca="1" si="86"/>
        <v>3780000</v>
      </c>
      <c r="Q181" s="160">
        <f t="shared" ca="1" si="116"/>
        <v>5000000</v>
      </c>
      <c r="R181" s="160">
        <f t="shared" ca="1" si="116"/>
        <v>0</v>
      </c>
      <c r="S181" s="160">
        <f t="shared" ca="1" si="116"/>
        <v>358488</v>
      </c>
      <c r="T181" s="160">
        <f t="shared" ca="1" si="116"/>
        <v>628000</v>
      </c>
      <c r="U181" s="161" t="str">
        <f t="shared" ca="1" si="87"/>
        <v/>
      </c>
      <c r="V181" s="162">
        <f t="shared" ca="1" si="79"/>
        <v>2.5099999999999998</v>
      </c>
      <c r="W181" s="195">
        <f t="shared" ca="1" si="106"/>
        <v>149</v>
      </c>
      <c r="X181" s="158">
        <f t="shared" ca="1" si="88"/>
        <v>13797.491186939103</v>
      </c>
      <c r="Y181" s="16">
        <f t="shared" ca="1" si="89"/>
        <v>5592.8790074519247</v>
      </c>
      <c r="Z181" s="164">
        <f t="shared" ca="1" si="90"/>
        <v>1214282.602564103</v>
      </c>
      <c r="AA181" s="272">
        <f t="shared" ca="1" si="107"/>
        <v>0.22</v>
      </c>
      <c r="AB181" s="16">
        <f t="shared" ca="1" si="91"/>
        <v>12605.277805299655</v>
      </c>
      <c r="AC181" s="16">
        <f t="shared" ca="1" si="92"/>
        <v>12605.27780529968</v>
      </c>
      <c r="AD181" s="197"/>
      <c r="AE181" s="274">
        <f t="shared" ca="1" si="93"/>
        <v>1.6821425527395739E-3</v>
      </c>
      <c r="AF181" s="166">
        <f t="shared" ca="1" si="94"/>
        <v>0.76001272096526806</v>
      </c>
      <c r="AG181" s="16">
        <f t="shared" ca="1" si="95"/>
        <v>9580.1714833288934</v>
      </c>
      <c r="AH181" s="16">
        <f t="shared" ca="1" si="96"/>
        <v>9580.1714833289116</v>
      </c>
      <c r="AI181" s="168">
        <f t="shared" ca="1" si="97"/>
        <v>49</v>
      </c>
      <c r="AJ181" s="158">
        <f t="shared" ca="1" si="98"/>
        <v>49</v>
      </c>
      <c r="AK181" s="16">
        <f t="shared" ca="1" si="99"/>
        <v>-13846.491186939082</v>
      </c>
      <c r="AL181" s="168">
        <f t="shared" ca="1" si="108"/>
        <v>13797.491186939082</v>
      </c>
      <c r="AM181" s="158">
        <f t="shared" ca="1" si="109"/>
        <v>13835.027287660236</v>
      </c>
      <c r="AN181" s="158">
        <f t="shared" ca="1" si="110"/>
        <v>11334.374221532977</v>
      </c>
      <c r="AO181" s="169">
        <f t="shared" ca="1" si="111"/>
        <v>149</v>
      </c>
      <c r="AP181" s="169">
        <f t="shared" ca="1" si="112"/>
        <v>114</v>
      </c>
      <c r="AQ181" s="158">
        <f t="shared" ca="1" si="113"/>
        <v>0</v>
      </c>
      <c r="AR181" s="158">
        <f t="shared" ca="1" si="114"/>
        <v>37.536100721154071</v>
      </c>
      <c r="AS181" s="170"/>
      <c r="AT181" s="159"/>
      <c r="AU181" s="159"/>
    </row>
    <row r="182" spans="1:47" x14ac:dyDescent="0.6">
      <c r="A182" s="171" t="str">
        <f t="shared" ca="1" si="80"/>
        <v>September 2038</v>
      </c>
      <c r="B182" s="191">
        <v>0</v>
      </c>
      <c r="C182" s="269">
        <f t="shared" ca="1" si="100"/>
        <v>5.4899999999999997E-2</v>
      </c>
      <c r="D182" s="173" t="str">
        <f t="shared" ca="1" si="101"/>
        <v/>
      </c>
      <c r="E182" s="174" t="str">
        <f t="shared" ca="1" si="102"/>
        <v/>
      </c>
      <c r="F182" s="175">
        <f t="shared" ca="1" si="103"/>
        <v>49</v>
      </c>
      <c r="G182" s="10">
        <v>165</v>
      </c>
      <c r="H182" s="176">
        <f t="shared" ca="1" si="104"/>
        <v>148</v>
      </c>
      <c r="I182" s="12">
        <f t="shared" ca="1" si="105"/>
        <v>13759.955086217928</v>
      </c>
      <c r="J182" s="12">
        <f t="shared" ca="1" si="81"/>
        <v>5555.3429067307798</v>
      </c>
      <c r="K182" s="177">
        <f t="shared" ca="1" si="82"/>
        <v>8204.6121794871469</v>
      </c>
      <c r="L182" s="177">
        <f t="shared" ca="1" si="83"/>
        <v>1206077.9903846176</v>
      </c>
      <c r="M182" s="11">
        <f t="shared" ca="1" si="84"/>
        <v>-9.0949470177292824E-12</v>
      </c>
      <c r="N182" s="12">
        <f ca="1">IF(Y182=0, 0, ROUND(SUM(Y$17:Y182)-SUM(J$17:J182),0))</f>
        <v>0</v>
      </c>
      <c r="O182" s="12" t="str">
        <f t="shared" ca="1" si="85"/>
        <v/>
      </c>
      <c r="P182" s="12">
        <f t="shared" ca="1" si="86"/>
        <v>3790000</v>
      </c>
      <c r="Q182" s="178">
        <f t="shared" ca="1" si="116"/>
        <v>5000000</v>
      </c>
      <c r="R182" s="178">
        <f t="shared" ca="1" si="116"/>
        <v>0</v>
      </c>
      <c r="S182" s="178">
        <f t="shared" ca="1" si="116"/>
        <v>358488</v>
      </c>
      <c r="T182" s="178">
        <f t="shared" ca="1" si="116"/>
        <v>628000</v>
      </c>
      <c r="U182" s="179" t="str">
        <f t="shared" ca="1" si="87"/>
        <v/>
      </c>
      <c r="V182" s="180">
        <f t="shared" ca="1" si="79"/>
        <v>2.5</v>
      </c>
      <c r="W182" s="181">
        <f t="shared" ca="1" si="106"/>
        <v>148</v>
      </c>
      <c r="X182" s="177">
        <f t="shared" ca="1" si="88"/>
        <v>13759.955086217949</v>
      </c>
      <c r="Y182" s="12">
        <f t="shared" ca="1" si="89"/>
        <v>5555.3429067307707</v>
      </c>
      <c r="Z182" s="182">
        <f t="shared" ca="1" si="90"/>
        <v>1206077.9903846157</v>
      </c>
      <c r="AA182" s="271">
        <f t="shared" ca="1" si="107"/>
        <v>0.22</v>
      </c>
      <c r="AB182" s="12">
        <f t="shared" ca="1" si="91"/>
        <v>12575.999646737157</v>
      </c>
      <c r="AC182" s="12">
        <f t="shared" ca="1" si="92"/>
        <v>12575.999646737182</v>
      </c>
      <c r="AD182" s="199"/>
      <c r="AE182" s="273">
        <f t="shared" ca="1" si="93"/>
        <v>1.6821425527395739E-3</v>
      </c>
      <c r="AF182" s="184">
        <f t="shared" ca="1" si="94"/>
        <v>0.758734271226709</v>
      </c>
      <c r="AG182" s="12">
        <f t="shared" ca="1" si="95"/>
        <v>9541.841926914467</v>
      </c>
      <c r="AH182" s="12">
        <f t="shared" ca="1" si="96"/>
        <v>9541.8419269144852</v>
      </c>
      <c r="AI182" s="185">
        <f t="shared" ca="1" si="97"/>
        <v>49</v>
      </c>
      <c r="AJ182" s="177">
        <f t="shared" ca="1" si="98"/>
        <v>49</v>
      </c>
      <c r="AK182" s="12">
        <f t="shared" ca="1" si="99"/>
        <v>-13808.955086217928</v>
      </c>
      <c r="AL182" s="185">
        <f t="shared" ca="1" si="108"/>
        <v>13759.955086217928</v>
      </c>
      <c r="AM182" s="177">
        <f t="shared" ca="1" si="109"/>
        <v>13797.491186939082</v>
      </c>
      <c r="AN182" s="177">
        <f t="shared" ca="1" si="110"/>
        <v>11311.42950186869</v>
      </c>
      <c r="AO182" s="196">
        <f t="shared" ca="1" si="111"/>
        <v>148</v>
      </c>
      <c r="AP182" s="196">
        <f t="shared" ca="1" si="112"/>
        <v>113</v>
      </c>
      <c r="AQ182" s="177">
        <f t="shared" ca="1" si="113"/>
        <v>0</v>
      </c>
      <c r="AR182" s="177">
        <f t="shared" ca="1" si="114"/>
        <v>37.536100721154071</v>
      </c>
      <c r="AS182" s="189"/>
      <c r="AT182" s="190"/>
      <c r="AU182" s="190"/>
    </row>
    <row r="183" spans="1:47" x14ac:dyDescent="0.6">
      <c r="A183" s="152" t="str">
        <f t="shared" ca="1" si="80"/>
        <v>Oktober 2038</v>
      </c>
      <c r="B183" s="191">
        <v>0</v>
      </c>
      <c r="C183" s="270">
        <f t="shared" ca="1" si="100"/>
        <v>5.4899999999999997E-2</v>
      </c>
      <c r="D183" s="192" t="str">
        <f t="shared" ca="1" si="101"/>
        <v/>
      </c>
      <c r="E183" s="193" t="str">
        <f t="shared" ca="1" si="102"/>
        <v/>
      </c>
      <c r="F183" s="194">
        <f t="shared" ca="1" si="103"/>
        <v>49</v>
      </c>
      <c r="G183" s="14">
        <v>166</v>
      </c>
      <c r="H183" s="157">
        <f t="shared" ca="1" si="104"/>
        <v>147</v>
      </c>
      <c r="I183" s="16">
        <f t="shared" ca="1" si="105"/>
        <v>13722.418985496774</v>
      </c>
      <c r="J183" s="16">
        <f t="shared" ca="1" si="81"/>
        <v>5517.8068060096257</v>
      </c>
      <c r="K183" s="158">
        <f t="shared" ca="1" si="82"/>
        <v>8204.6121794871469</v>
      </c>
      <c r="L183" s="158">
        <f t="shared" ca="1" si="83"/>
        <v>1197873.3782051303</v>
      </c>
      <c r="M183" s="15">
        <f t="shared" ca="1" si="84"/>
        <v>-9.0949470177292824E-12</v>
      </c>
      <c r="N183" s="16">
        <f ca="1">IF(Y183=0, 0, ROUND(SUM(Y$17:Y183)-SUM(J$17:J183),0))</f>
        <v>0</v>
      </c>
      <c r="O183" s="16" t="str">
        <f t="shared" ca="1" si="85"/>
        <v/>
      </c>
      <c r="P183" s="16">
        <f t="shared" ca="1" si="86"/>
        <v>3800000</v>
      </c>
      <c r="Q183" s="160">
        <f t="shared" ca="1" si="116"/>
        <v>5000000</v>
      </c>
      <c r="R183" s="160">
        <f t="shared" ca="1" si="116"/>
        <v>0</v>
      </c>
      <c r="S183" s="160">
        <f t="shared" ca="1" si="116"/>
        <v>358488</v>
      </c>
      <c r="T183" s="160">
        <f t="shared" ca="1" si="116"/>
        <v>628000</v>
      </c>
      <c r="U183" s="161" t="str">
        <f t="shared" ca="1" si="87"/>
        <v/>
      </c>
      <c r="V183" s="162">
        <f t="shared" ca="1" si="79"/>
        <v>2.48</v>
      </c>
      <c r="W183" s="195">
        <f t="shared" ca="1" si="106"/>
        <v>147</v>
      </c>
      <c r="X183" s="158">
        <f t="shared" ca="1" si="88"/>
        <v>13722.418985496795</v>
      </c>
      <c r="Y183" s="16">
        <f t="shared" ca="1" si="89"/>
        <v>5517.8068060096166</v>
      </c>
      <c r="Z183" s="164">
        <f t="shared" ca="1" si="90"/>
        <v>1197873.3782051287</v>
      </c>
      <c r="AA183" s="272">
        <f t="shared" ca="1" si="107"/>
        <v>0.22</v>
      </c>
      <c r="AB183" s="16">
        <f t="shared" ca="1" si="91"/>
        <v>12546.721488174655</v>
      </c>
      <c r="AC183" s="16">
        <f t="shared" ca="1" si="92"/>
        <v>12546.72148817468</v>
      </c>
      <c r="AD183" s="197"/>
      <c r="AE183" s="274">
        <f t="shared" ca="1" si="93"/>
        <v>1.6821425527395739E-3</v>
      </c>
      <c r="AF183" s="166">
        <f t="shared" ca="1" si="94"/>
        <v>0.7574579720228567</v>
      </c>
      <c r="AG183" s="16">
        <f t="shared" ca="1" si="95"/>
        <v>9503.6142139683725</v>
      </c>
      <c r="AH183" s="16">
        <f t="shared" ca="1" si="96"/>
        <v>9503.6142139683925</v>
      </c>
      <c r="AI183" s="168">
        <f t="shared" ca="1" si="97"/>
        <v>49</v>
      </c>
      <c r="AJ183" s="158">
        <f t="shared" ca="1" si="98"/>
        <v>49</v>
      </c>
      <c r="AK183" s="16">
        <f t="shared" ca="1" si="99"/>
        <v>-13771.418985496774</v>
      </c>
      <c r="AL183" s="168">
        <f t="shared" ca="1" si="108"/>
        <v>13722.418985496774</v>
      </c>
      <c r="AM183" s="158">
        <f t="shared" ca="1" si="109"/>
        <v>13759.955086217928</v>
      </c>
      <c r="AN183" s="158">
        <f t="shared" ca="1" si="110"/>
        <v>11288.512069636201</v>
      </c>
      <c r="AO183" s="169">
        <f t="shared" ca="1" si="111"/>
        <v>147</v>
      </c>
      <c r="AP183" s="169">
        <f t="shared" ca="1" si="112"/>
        <v>113</v>
      </c>
      <c r="AQ183" s="158">
        <f t="shared" ca="1" si="113"/>
        <v>0</v>
      </c>
      <c r="AR183" s="158">
        <f t="shared" ca="1" si="114"/>
        <v>37.536100721154071</v>
      </c>
      <c r="AS183" s="170"/>
      <c r="AT183" s="159"/>
      <c r="AU183" s="159"/>
    </row>
    <row r="184" spans="1:47" x14ac:dyDescent="0.6">
      <c r="A184" s="171" t="str">
        <f t="shared" ca="1" si="80"/>
        <v>November 2038</v>
      </c>
      <c r="B184" s="191">
        <v>0</v>
      </c>
      <c r="C184" s="269">
        <f t="shared" ca="1" si="100"/>
        <v>5.4899999999999997E-2</v>
      </c>
      <c r="D184" s="173" t="str">
        <f t="shared" ca="1" si="101"/>
        <v/>
      </c>
      <c r="E184" s="174" t="str">
        <f t="shared" ca="1" si="102"/>
        <v/>
      </c>
      <c r="F184" s="175">
        <f t="shared" ca="1" si="103"/>
        <v>49</v>
      </c>
      <c r="G184" s="10">
        <v>167</v>
      </c>
      <c r="H184" s="176">
        <f t="shared" ca="1" si="104"/>
        <v>146</v>
      </c>
      <c r="I184" s="12">
        <f t="shared" ca="1" si="105"/>
        <v>13684.882884775619</v>
      </c>
      <c r="J184" s="12">
        <f t="shared" ca="1" si="81"/>
        <v>5480.2707052884716</v>
      </c>
      <c r="K184" s="177">
        <f t="shared" ca="1" si="82"/>
        <v>8204.6121794871469</v>
      </c>
      <c r="L184" s="177">
        <f t="shared" ca="1" si="83"/>
        <v>1189668.7660256431</v>
      </c>
      <c r="M184" s="11">
        <f t="shared" ca="1" si="84"/>
        <v>-7.2759576141834259E-12</v>
      </c>
      <c r="N184" s="12">
        <f ca="1">IF(Y184=0, 0, ROUND(SUM(Y$17:Y184)-SUM(J$17:J184),0))</f>
        <v>0</v>
      </c>
      <c r="O184" s="12" t="str">
        <f t="shared" ca="1" si="85"/>
        <v/>
      </c>
      <c r="P184" s="12">
        <f t="shared" ca="1" si="86"/>
        <v>3810000</v>
      </c>
      <c r="Q184" s="178">
        <f t="shared" ca="1" si="116"/>
        <v>5000000</v>
      </c>
      <c r="R184" s="178">
        <f t="shared" ca="1" si="116"/>
        <v>0</v>
      </c>
      <c r="S184" s="178">
        <f t="shared" ca="1" si="116"/>
        <v>358488</v>
      </c>
      <c r="T184" s="178">
        <f t="shared" ca="1" si="116"/>
        <v>628000</v>
      </c>
      <c r="U184" s="179" t="str">
        <f t="shared" ca="1" si="87"/>
        <v/>
      </c>
      <c r="V184" s="180">
        <f t="shared" ca="1" si="79"/>
        <v>2.4699999999999998</v>
      </c>
      <c r="W184" s="181">
        <f t="shared" ca="1" si="106"/>
        <v>146</v>
      </c>
      <c r="X184" s="177">
        <f t="shared" ca="1" si="88"/>
        <v>13684.882884775645</v>
      </c>
      <c r="Y184" s="12">
        <f t="shared" ca="1" si="89"/>
        <v>5480.2707052884643</v>
      </c>
      <c r="Z184" s="182">
        <f t="shared" ca="1" si="90"/>
        <v>1189668.7660256415</v>
      </c>
      <c r="AA184" s="271">
        <f t="shared" ca="1" si="107"/>
        <v>0.22</v>
      </c>
      <c r="AB184" s="12">
        <f t="shared" ca="1" si="91"/>
        <v>12517.443329612155</v>
      </c>
      <c r="AC184" s="12">
        <f t="shared" ca="1" si="92"/>
        <v>12517.443329612182</v>
      </c>
      <c r="AD184" s="199"/>
      <c r="AE184" s="273">
        <f t="shared" ca="1" si="93"/>
        <v>1.6821425527395739E-3</v>
      </c>
      <c r="AF184" s="184">
        <f t="shared" ca="1" si="94"/>
        <v>0.75618381973620519</v>
      </c>
      <c r="AG184" s="12">
        <f t="shared" ca="1" si="95"/>
        <v>9465.4881103176012</v>
      </c>
      <c r="AH184" s="12">
        <f t="shared" ca="1" si="96"/>
        <v>9465.4881103176231</v>
      </c>
      <c r="AI184" s="185">
        <f t="shared" ca="1" si="97"/>
        <v>49</v>
      </c>
      <c r="AJ184" s="177">
        <f t="shared" ca="1" si="98"/>
        <v>49</v>
      </c>
      <c r="AK184" s="12">
        <f t="shared" ca="1" si="99"/>
        <v>-13733.882884775619</v>
      </c>
      <c r="AL184" s="185">
        <f t="shared" ca="1" si="108"/>
        <v>13684.882884775619</v>
      </c>
      <c r="AM184" s="177">
        <f t="shared" ca="1" si="109"/>
        <v>13722.418985496774</v>
      </c>
      <c r="AN184" s="177">
        <f t="shared" ca="1" si="110"/>
        <v>11265.621941469315</v>
      </c>
      <c r="AO184" s="196">
        <f t="shared" ca="1" si="111"/>
        <v>146</v>
      </c>
      <c r="AP184" s="196">
        <f t="shared" ca="1" si="112"/>
        <v>112</v>
      </c>
      <c r="AQ184" s="177">
        <f t="shared" ca="1" si="113"/>
        <v>0</v>
      </c>
      <c r="AR184" s="177">
        <f t="shared" ca="1" si="114"/>
        <v>37.536100721154071</v>
      </c>
      <c r="AS184" s="189"/>
      <c r="AT184" s="190"/>
      <c r="AU184" s="190"/>
    </row>
    <row r="185" spans="1:47" x14ac:dyDescent="0.6">
      <c r="A185" s="152" t="str">
        <f t="shared" ca="1" si="80"/>
        <v>Desember 2038</v>
      </c>
      <c r="B185" s="191">
        <v>0</v>
      </c>
      <c r="C185" s="270">
        <f t="shared" ca="1" si="100"/>
        <v>5.4899999999999997E-2</v>
      </c>
      <c r="D185" s="192" t="str">
        <f t="shared" ca="1" si="101"/>
        <v/>
      </c>
      <c r="E185" s="193" t="str">
        <f t="shared" ca="1" si="102"/>
        <v/>
      </c>
      <c r="F185" s="194">
        <f t="shared" ca="1" si="103"/>
        <v>49</v>
      </c>
      <c r="G185" s="14">
        <v>168</v>
      </c>
      <c r="H185" s="157">
        <f t="shared" ca="1" si="104"/>
        <v>145</v>
      </c>
      <c r="I185" s="16">
        <f t="shared" ca="1" si="105"/>
        <v>13647.346784054464</v>
      </c>
      <c r="J185" s="16">
        <f t="shared" ca="1" si="81"/>
        <v>5442.7346045673166</v>
      </c>
      <c r="K185" s="158">
        <f t="shared" ca="1" si="82"/>
        <v>8204.6121794871469</v>
      </c>
      <c r="L185" s="158">
        <f t="shared" ca="1" si="83"/>
        <v>1181464.1538461559</v>
      </c>
      <c r="M185" s="15">
        <f t="shared" ca="1" si="84"/>
        <v>-7.2759576141834259E-12</v>
      </c>
      <c r="N185" s="16">
        <f ca="1">IF(Y185=0, 0, ROUND(SUM(Y$17:Y185)-SUM(J$17:J185),0))</f>
        <v>0</v>
      </c>
      <c r="O185" s="16" t="str">
        <f t="shared" ca="1" si="85"/>
        <v/>
      </c>
      <c r="P185" s="16" t="str">
        <f t="shared" ca="1" si="86"/>
        <v/>
      </c>
      <c r="Q185" s="160">
        <f t="shared" ca="1" si="116"/>
        <v>5000000</v>
      </c>
      <c r="R185" s="160">
        <f t="shared" ca="1" si="116"/>
        <v>0</v>
      </c>
      <c r="S185" s="160">
        <f t="shared" ca="1" si="116"/>
        <v>358488</v>
      </c>
      <c r="T185" s="160">
        <f t="shared" ca="1" si="116"/>
        <v>628000</v>
      </c>
      <c r="U185" s="161" t="str">
        <f t="shared" ca="1" si="87"/>
        <v/>
      </c>
      <c r="V185" s="162">
        <f t="shared" ca="1" si="79"/>
        <v>2.46</v>
      </c>
      <c r="W185" s="195">
        <f t="shared" ca="1" si="106"/>
        <v>145</v>
      </c>
      <c r="X185" s="158">
        <f t="shared" ca="1" si="88"/>
        <v>13647.346784054489</v>
      </c>
      <c r="Y185" s="16">
        <f t="shared" ca="1" si="89"/>
        <v>5442.7346045673094</v>
      </c>
      <c r="Z185" s="164">
        <f t="shared" ca="1" si="90"/>
        <v>1181464.1538461542</v>
      </c>
      <c r="AA185" s="272">
        <f t="shared" ca="1" si="107"/>
        <v>0.22</v>
      </c>
      <c r="AB185" s="16">
        <f t="shared" ca="1" si="91"/>
        <v>12488.165171049655</v>
      </c>
      <c r="AC185" s="16">
        <f t="shared" ca="1" si="92"/>
        <v>12488.165171049681</v>
      </c>
      <c r="AD185" s="197"/>
      <c r="AE185" s="274">
        <f t="shared" ca="1" si="93"/>
        <v>1.6821425527395739E-3</v>
      </c>
      <c r="AF185" s="166">
        <f t="shared" ca="1" si="94"/>
        <v>0.75491181075533376</v>
      </c>
      <c r="AG185" s="16">
        <f t="shared" ca="1" si="95"/>
        <v>9427.4633822887881</v>
      </c>
      <c r="AH185" s="16">
        <f t="shared" ca="1" si="96"/>
        <v>9427.4633822888063</v>
      </c>
      <c r="AI185" s="168">
        <f t="shared" ca="1" si="97"/>
        <v>49</v>
      </c>
      <c r="AJ185" s="158">
        <f t="shared" ca="1" si="98"/>
        <v>49</v>
      </c>
      <c r="AK185" s="16">
        <f t="shared" ca="1" si="99"/>
        <v>-13696.346784054464</v>
      </c>
      <c r="AL185" s="168">
        <f t="shared" ca="1" si="108"/>
        <v>13647.346784054464</v>
      </c>
      <c r="AM185" s="158">
        <f t="shared" ca="1" si="109"/>
        <v>13684.882884775619</v>
      </c>
      <c r="AN185" s="158">
        <f t="shared" ca="1" si="110"/>
        <v>11242.759133901027</v>
      </c>
      <c r="AO185" s="169">
        <f t="shared" ca="1" si="111"/>
        <v>145</v>
      </c>
      <c r="AP185" s="169">
        <f t="shared" ca="1" si="112"/>
        <v>112</v>
      </c>
      <c r="AQ185" s="158">
        <f t="shared" ca="1" si="113"/>
        <v>0</v>
      </c>
      <c r="AR185" s="158">
        <f t="shared" ca="1" si="114"/>
        <v>37.53610072115589</v>
      </c>
      <c r="AS185" s="170"/>
      <c r="AT185" s="159"/>
      <c r="AU185" s="159"/>
    </row>
    <row r="186" spans="1:47" x14ac:dyDescent="0.6">
      <c r="A186" s="171" t="str">
        <f t="shared" ca="1" si="80"/>
        <v>Januar 2039</v>
      </c>
      <c r="B186" s="191">
        <v>0</v>
      </c>
      <c r="C186" s="269">
        <f t="shared" ca="1" si="100"/>
        <v>5.4899999999999997E-2</v>
      </c>
      <c r="D186" s="173" t="str">
        <f t="shared" ca="1" si="101"/>
        <v/>
      </c>
      <c r="E186" s="174" t="str">
        <f t="shared" ca="1" si="102"/>
        <v/>
      </c>
      <c r="F186" s="175">
        <f t="shared" ca="1" si="103"/>
        <v>49</v>
      </c>
      <c r="G186" s="10">
        <v>169</v>
      </c>
      <c r="H186" s="176">
        <f t="shared" ca="1" si="104"/>
        <v>144</v>
      </c>
      <c r="I186" s="12">
        <f t="shared" ca="1" si="105"/>
        <v>13609.810683333309</v>
      </c>
      <c r="J186" s="12">
        <f t="shared" ca="1" si="81"/>
        <v>5405.1985038461626</v>
      </c>
      <c r="K186" s="177">
        <f t="shared" ca="1" si="82"/>
        <v>8204.6121794871469</v>
      </c>
      <c r="L186" s="177">
        <f t="shared" ca="1" si="83"/>
        <v>1173259.5416666686</v>
      </c>
      <c r="M186" s="11">
        <f t="shared" ca="1" si="84"/>
        <v>-7.2759576141834259E-12</v>
      </c>
      <c r="N186" s="12">
        <f ca="1">IF(Y186=0, 0, ROUND(SUM(Y$17:Y186)-SUM(J$17:J186),0))</f>
        <v>0</v>
      </c>
      <c r="O186" s="12" t="str">
        <f t="shared" ca="1" si="85"/>
        <v/>
      </c>
      <c r="P186" s="12">
        <f t="shared" ca="1" si="86"/>
        <v>3820000</v>
      </c>
      <c r="Q186" s="178">
        <f t="shared" ca="1" si="116"/>
        <v>5000000</v>
      </c>
      <c r="R186" s="178">
        <f t="shared" ca="1" si="116"/>
        <v>0</v>
      </c>
      <c r="S186" s="178">
        <f t="shared" ca="1" si="116"/>
        <v>358488</v>
      </c>
      <c r="T186" s="178">
        <f t="shared" ca="1" si="116"/>
        <v>628000</v>
      </c>
      <c r="U186" s="179" t="str">
        <f t="shared" ca="1" si="87"/>
        <v/>
      </c>
      <c r="V186" s="180">
        <f t="shared" ca="1" si="79"/>
        <v>2.44</v>
      </c>
      <c r="W186" s="181">
        <f t="shared" ca="1" si="106"/>
        <v>144</v>
      </c>
      <c r="X186" s="177">
        <f t="shared" ca="1" si="88"/>
        <v>13609.810683333335</v>
      </c>
      <c r="Y186" s="12">
        <f t="shared" ca="1" si="89"/>
        <v>5405.1985038461553</v>
      </c>
      <c r="Z186" s="182">
        <f t="shared" ca="1" si="90"/>
        <v>1173259.541666667</v>
      </c>
      <c r="AA186" s="271">
        <f t="shared" ca="1" si="107"/>
        <v>0.22</v>
      </c>
      <c r="AB186" s="12">
        <f t="shared" ca="1" si="91"/>
        <v>12458.887012487154</v>
      </c>
      <c r="AC186" s="12">
        <f t="shared" ca="1" si="92"/>
        <v>12458.887012487181</v>
      </c>
      <c r="AD186" s="199"/>
      <c r="AE186" s="273">
        <f t="shared" ca="1" si="93"/>
        <v>1.6821425527395739E-3</v>
      </c>
      <c r="AF186" s="184">
        <f t="shared" ca="1" si="94"/>
        <v>0.75364194147489649</v>
      </c>
      <c r="AG186" s="12">
        <f t="shared" ca="1" si="95"/>
        <v>9389.5397967071913</v>
      </c>
      <c r="AH186" s="12">
        <f t="shared" ca="1" si="96"/>
        <v>9389.5397967072113</v>
      </c>
      <c r="AI186" s="185">
        <f t="shared" ca="1" si="97"/>
        <v>49</v>
      </c>
      <c r="AJ186" s="177">
        <f t="shared" ca="1" si="98"/>
        <v>49</v>
      </c>
      <c r="AK186" s="12">
        <f t="shared" ca="1" si="99"/>
        <v>-13658.810683333309</v>
      </c>
      <c r="AL186" s="185">
        <f t="shared" ca="1" si="108"/>
        <v>13609.810683333309</v>
      </c>
      <c r="AM186" s="177">
        <f t="shared" ca="1" si="109"/>
        <v>13647.346784054464</v>
      </c>
      <c r="AN186" s="177">
        <f t="shared" ca="1" si="110"/>
        <v>11219.923663363254</v>
      </c>
      <c r="AO186" s="196">
        <f t="shared" ca="1" si="111"/>
        <v>144</v>
      </c>
      <c r="AP186" s="196">
        <f t="shared" ca="1" si="112"/>
        <v>111</v>
      </c>
      <c r="AQ186" s="177">
        <f t="shared" ca="1" si="113"/>
        <v>0</v>
      </c>
      <c r="AR186" s="177">
        <f t="shared" ca="1" si="114"/>
        <v>37.536100721154071</v>
      </c>
      <c r="AS186" s="189"/>
      <c r="AT186" s="190"/>
      <c r="AU186" s="190"/>
    </row>
    <row r="187" spans="1:47" x14ac:dyDescent="0.6">
      <c r="A187" s="152" t="str">
        <f t="shared" ca="1" si="80"/>
        <v>Februar 2039</v>
      </c>
      <c r="B187" s="191">
        <v>0</v>
      </c>
      <c r="C187" s="270">
        <f t="shared" ca="1" si="100"/>
        <v>5.4899999999999997E-2</v>
      </c>
      <c r="D187" s="192" t="str">
        <f t="shared" ca="1" si="101"/>
        <v/>
      </c>
      <c r="E187" s="193" t="str">
        <f t="shared" ca="1" si="102"/>
        <v/>
      </c>
      <c r="F187" s="194">
        <f t="shared" ca="1" si="103"/>
        <v>49</v>
      </c>
      <c r="G187" s="14">
        <v>170</v>
      </c>
      <c r="H187" s="157">
        <f t="shared" ca="1" si="104"/>
        <v>143</v>
      </c>
      <c r="I187" s="16">
        <f t="shared" ca="1" si="105"/>
        <v>13572.274582612155</v>
      </c>
      <c r="J187" s="16">
        <f t="shared" ca="1" si="81"/>
        <v>5367.6624031250085</v>
      </c>
      <c r="K187" s="158">
        <f t="shared" ca="1" si="82"/>
        <v>8204.6121794871469</v>
      </c>
      <c r="L187" s="158">
        <f t="shared" ca="1" si="83"/>
        <v>1165054.9294871814</v>
      </c>
      <c r="M187" s="15">
        <f t="shared" ca="1" si="84"/>
        <v>-7.2759576141834259E-12</v>
      </c>
      <c r="N187" s="16">
        <f ca="1">IF(Y187=0, 0, ROUND(SUM(Y$17:Y187)-SUM(J$17:J187),0))</f>
        <v>0</v>
      </c>
      <c r="O187" s="16" t="str">
        <f t="shared" ca="1" si="85"/>
        <v/>
      </c>
      <c r="P187" s="16">
        <f t="shared" ca="1" si="86"/>
        <v>3830000</v>
      </c>
      <c r="Q187" s="160">
        <f t="shared" ca="1" si="116"/>
        <v>5000000</v>
      </c>
      <c r="R187" s="160">
        <f t="shared" ca="1" si="116"/>
        <v>0</v>
      </c>
      <c r="S187" s="160">
        <f t="shared" ca="1" si="116"/>
        <v>358488</v>
      </c>
      <c r="T187" s="160">
        <f t="shared" ca="1" si="116"/>
        <v>628000</v>
      </c>
      <c r="U187" s="161" t="str">
        <f t="shared" ca="1" si="87"/>
        <v/>
      </c>
      <c r="V187" s="162">
        <f t="shared" ca="1" si="79"/>
        <v>2.4299999999999997</v>
      </c>
      <c r="W187" s="195">
        <f t="shared" ca="1" si="106"/>
        <v>143</v>
      </c>
      <c r="X187" s="158">
        <f t="shared" ca="1" si="88"/>
        <v>13572.274582612181</v>
      </c>
      <c r="Y187" s="16">
        <f t="shared" ca="1" si="89"/>
        <v>5367.6624031250012</v>
      </c>
      <c r="Z187" s="164">
        <f t="shared" ca="1" si="90"/>
        <v>1165054.92948718</v>
      </c>
      <c r="AA187" s="272">
        <f t="shared" ca="1" si="107"/>
        <v>0.22</v>
      </c>
      <c r="AB187" s="16">
        <f t="shared" ca="1" si="91"/>
        <v>12429.608853924654</v>
      </c>
      <c r="AC187" s="16">
        <f t="shared" ca="1" si="92"/>
        <v>12429.608853924681</v>
      </c>
      <c r="AD187" s="197"/>
      <c r="AE187" s="274">
        <f t="shared" ca="1" si="93"/>
        <v>1.6821425527395739E-3</v>
      </c>
      <c r="AF187" s="166">
        <f t="shared" ca="1" si="94"/>
        <v>0.7523742082956123</v>
      </c>
      <c r="AG187" s="16">
        <f t="shared" ca="1" si="95"/>
        <v>9351.7171208956952</v>
      </c>
      <c r="AH187" s="16">
        <f t="shared" ca="1" si="96"/>
        <v>9351.7171208957152</v>
      </c>
      <c r="AI187" s="168">
        <f t="shared" ca="1" si="97"/>
        <v>49</v>
      </c>
      <c r="AJ187" s="158">
        <f t="shared" ca="1" si="98"/>
        <v>49</v>
      </c>
      <c r="AK187" s="16">
        <f t="shared" ca="1" si="99"/>
        <v>-13621.274582612155</v>
      </c>
      <c r="AL187" s="168">
        <f t="shared" ca="1" si="108"/>
        <v>13572.274582612155</v>
      </c>
      <c r="AM187" s="158">
        <f t="shared" ca="1" si="109"/>
        <v>13609.810683333309</v>
      </c>
      <c r="AN187" s="158">
        <f t="shared" ca="1" si="110"/>
        <v>11197.11554618662</v>
      </c>
      <c r="AO187" s="169">
        <f t="shared" ca="1" si="111"/>
        <v>143</v>
      </c>
      <c r="AP187" s="169">
        <f t="shared" ca="1" si="112"/>
        <v>110</v>
      </c>
      <c r="AQ187" s="158">
        <f t="shared" ca="1" si="113"/>
        <v>0</v>
      </c>
      <c r="AR187" s="158">
        <f t="shared" ca="1" si="114"/>
        <v>37.536100721154071</v>
      </c>
      <c r="AS187" s="170"/>
      <c r="AT187" s="159"/>
      <c r="AU187" s="159"/>
    </row>
    <row r="188" spans="1:47" x14ac:dyDescent="0.6">
      <c r="A188" s="171" t="str">
        <f t="shared" ca="1" si="80"/>
        <v>Mars 2039</v>
      </c>
      <c r="B188" s="191">
        <v>0</v>
      </c>
      <c r="C188" s="269">
        <f t="shared" ca="1" si="100"/>
        <v>5.4899999999999997E-2</v>
      </c>
      <c r="D188" s="173" t="str">
        <f t="shared" ca="1" si="101"/>
        <v/>
      </c>
      <c r="E188" s="174" t="str">
        <f t="shared" ca="1" si="102"/>
        <v/>
      </c>
      <c r="F188" s="175">
        <f t="shared" ca="1" si="103"/>
        <v>49</v>
      </c>
      <c r="G188" s="10">
        <v>171</v>
      </c>
      <c r="H188" s="176">
        <f t="shared" ca="1" si="104"/>
        <v>142</v>
      </c>
      <c r="I188" s="12">
        <f t="shared" ca="1" si="105"/>
        <v>13534.738481891001</v>
      </c>
      <c r="J188" s="12">
        <f t="shared" ca="1" si="81"/>
        <v>5330.1263024038544</v>
      </c>
      <c r="K188" s="177">
        <f t="shared" ca="1" si="82"/>
        <v>8204.6121794871469</v>
      </c>
      <c r="L188" s="177">
        <f t="shared" ca="1" si="83"/>
        <v>1156850.3173076941</v>
      </c>
      <c r="M188" s="11">
        <f t="shared" ca="1" si="84"/>
        <v>0</v>
      </c>
      <c r="N188" s="12">
        <f ca="1">IF(Y188=0, 0, ROUND(SUM(Y$17:Y188)-SUM(J$17:J188),0))</f>
        <v>0</v>
      </c>
      <c r="O188" s="12" t="str">
        <f t="shared" ca="1" si="85"/>
        <v/>
      </c>
      <c r="P188" s="12">
        <f t="shared" ca="1" si="86"/>
        <v>3840000</v>
      </c>
      <c r="Q188" s="178">
        <f t="shared" ca="1" si="116"/>
        <v>5000000</v>
      </c>
      <c r="R188" s="178">
        <f t="shared" ca="1" si="116"/>
        <v>0</v>
      </c>
      <c r="S188" s="178">
        <f t="shared" ca="1" si="116"/>
        <v>358488</v>
      </c>
      <c r="T188" s="178">
        <f t="shared" ca="1" si="116"/>
        <v>628000</v>
      </c>
      <c r="U188" s="179" t="str">
        <f t="shared" ca="1" si="87"/>
        <v/>
      </c>
      <c r="V188" s="180">
        <f t="shared" ca="1" si="79"/>
        <v>2.42</v>
      </c>
      <c r="W188" s="181">
        <f t="shared" ca="1" si="106"/>
        <v>142</v>
      </c>
      <c r="X188" s="177">
        <f t="shared" ca="1" si="88"/>
        <v>13534.738481891029</v>
      </c>
      <c r="Y188" s="12">
        <f t="shared" ca="1" si="89"/>
        <v>5330.1263024038481</v>
      </c>
      <c r="Z188" s="182">
        <f t="shared" ca="1" si="90"/>
        <v>1156850.3173076927</v>
      </c>
      <c r="AA188" s="271">
        <f t="shared" ca="1" si="107"/>
        <v>0.22</v>
      </c>
      <c r="AB188" s="12">
        <f t="shared" ca="1" si="91"/>
        <v>12400.330695362154</v>
      </c>
      <c r="AC188" s="12">
        <f t="shared" ca="1" si="92"/>
        <v>12400.330695362181</v>
      </c>
      <c r="AD188" s="199"/>
      <c r="AE188" s="273">
        <f t="shared" ca="1" si="93"/>
        <v>1.6821425527395739E-3</v>
      </c>
      <c r="AF188" s="184">
        <f t="shared" ca="1" si="94"/>
        <v>0.75110860762425447</v>
      </c>
      <c r="AG188" s="12">
        <f t="shared" ca="1" si="95"/>
        <v>9313.9951226737703</v>
      </c>
      <c r="AH188" s="12">
        <f t="shared" ca="1" si="96"/>
        <v>9313.9951226737903</v>
      </c>
      <c r="AI188" s="185">
        <f t="shared" ca="1" si="97"/>
        <v>49</v>
      </c>
      <c r="AJ188" s="177">
        <f t="shared" ca="1" si="98"/>
        <v>49</v>
      </c>
      <c r="AK188" s="12">
        <f t="shared" ca="1" si="99"/>
        <v>-13583.738481891001</v>
      </c>
      <c r="AL188" s="185">
        <f t="shared" ca="1" si="108"/>
        <v>13534.738481891001</v>
      </c>
      <c r="AM188" s="177">
        <f t="shared" ca="1" si="109"/>
        <v>13572.274582612155</v>
      </c>
      <c r="AN188" s="177">
        <f t="shared" ca="1" si="110"/>
        <v>11174.334798600217</v>
      </c>
      <c r="AO188" s="196">
        <f t="shared" ca="1" si="111"/>
        <v>142</v>
      </c>
      <c r="AP188" s="196">
        <f t="shared" ca="1" si="112"/>
        <v>110</v>
      </c>
      <c r="AQ188" s="177">
        <f t="shared" ca="1" si="113"/>
        <v>0</v>
      </c>
      <c r="AR188" s="177">
        <f t="shared" ca="1" si="114"/>
        <v>37.536100721154071</v>
      </c>
      <c r="AS188" s="189"/>
      <c r="AT188" s="190"/>
      <c r="AU188" s="190"/>
    </row>
    <row r="189" spans="1:47" x14ac:dyDescent="0.6">
      <c r="A189" s="152" t="str">
        <f t="shared" ca="1" si="80"/>
        <v>April 2039</v>
      </c>
      <c r="B189" s="191">
        <v>0</v>
      </c>
      <c r="C189" s="270">
        <f t="shared" ca="1" si="100"/>
        <v>5.4899999999999997E-2</v>
      </c>
      <c r="D189" s="192" t="str">
        <f t="shared" ca="1" si="101"/>
        <v/>
      </c>
      <c r="E189" s="193" t="str">
        <f t="shared" ca="1" si="102"/>
        <v/>
      </c>
      <c r="F189" s="194">
        <f t="shared" ca="1" si="103"/>
        <v>49</v>
      </c>
      <c r="G189" s="14">
        <v>172</v>
      </c>
      <c r="H189" s="157">
        <f t="shared" ca="1" si="104"/>
        <v>141</v>
      </c>
      <c r="I189" s="16">
        <f t="shared" ca="1" si="105"/>
        <v>13497.202381169847</v>
      </c>
      <c r="J189" s="16">
        <f t="shared" ca="1" si="81"/>
        <v>5292.5902016827004</v>
      </c>
      <c r="K189" s="158">
        <f t="shared" ca="1" si="82"/>
        <v>8204.6121794871469</v>
      </c>
      <c r="L189" s="158">
        <f t="shared" ca="1" si="83"/>
        <v>1148645.7051282069</v>
      </c>
      <c r="M189" s="15">
        <f t="shared" ca="1" si="84"/>
        <v>0</v>
      </c>
      <c r="N189" s="16">
        <f ca="1">IF(Y189=0, 0, ROUND(SUM(Y$17:Y189)-SUM(J$17:J189),0))</f>
        <v>0</v>
      </c>
      <c r="O189" s="16" t="str">
        <f t="shared" ca="1" si="85"/>
        <v/>
      </c>
      <c r="P189" s="16">
        <f t="shared" ca="1" si="86"/>
        <v>3850000</v>
      </c>
      <c r="Q189" s="160">
        <f t="shared" ca="1" si="116"/>
        <v>5000000</v>
      </c>
      <c r="R189" s="160">
        <f t="shared" ca="1" si="116"/>
        <v>0</v>
      </c>
      <c r="S189" s="160">
        <f t="shared" ca="1" si="116"/>
        <v>358488</v>
      </c>
      <c r="T189" s="160">
        <f t="shared" ca="1" si="116"/>
        <v>628000</v>
      </c>
      <c r="U189" s="161" t="str">
        <f t="shared" ca="1" si="87"/>
        <v/>
      </c>
      <c r="V189" s="162">
        <f t="shared" ca="1" si="79"/>
        <v>2.4</v>
      </c>
      <c r="W189" s="195">
        <f t="shared" ca="1" si="106"/>
        <v>141</v>
      </c>
      <c r="X189" s="158">
        <f t="shared" ca="1" si="88"/>
        <v>13497.202381169875</v>
      </c>
      <c r="Y189" s="16">
        <f t="shared" ca="1" si="89"/>
        <v>5292.590201682694</v>
      </c>
      <c r="Z189" s="164">
        <f t="shared" ca="1" si="90"/>
        <v>1148645.7051282055</v>
      </c>
      <c r="AA189" s="272">
        <f t="shared" ca="1" si="107"/>
        <v>0.22</v>
      </c>
      <c r="AB189" s="16">
        <f t="shared" ca="1" si="91"/>
        <v>12371.052536799652</v>
      </c>
      <c r="AC189" s="16">
        <f t="shared" ca="1" si="92"/>
        <v>12371.052536799682</v>
      </c>
      <c r="AD189" s="197"/>
      <c r="AE189" s="274">
        <f t="shared" ca="1" si="93"/>
        <v>1.6821425527395739E-3</v>
      </c>
      <c r="AF189" s="166">
        <f t="shared" ca="1" si="94"/>
        <v>0.74984513587364077</v>
      </c>
      <c r="AG189" s="16">
        <f t="shared" ca="1" si="95"/>
        <v>9276.3735703564835</v>
      </c>
      <c r="AH189" s="16">
        <f t="shared" ca="1" si="96"/>
        <v>9276.3735703565053</v>
      </c>
      <c r="AI189" s="168">
        <f t="shared" ca="1" si="97"/>
        <v>49</v>
      </c>
      <c r="AJ189" s="158">
        <f t="shared" ca="1" si="98"/>
        <v>49</v>
      </c>
      <c r="AK189" s="16">
        <f t="shared" ca="1" si="99"/>
        <v>-13546.202381169847</v>
      </c>
      <c r="AL189" s="168">
        <f t="shared" ca="1" si="108"/>
        <v>13497.202381169847</v>
      </c>
      <c r="AM189" s="158">
        <f t="shared" ca="1" si="109"/>
        <v>13534.738481891001</v>
      </c>
      <c r="AN189" s="158">
        <f t="shared" ca="1" si="110"/>
        <v>11151.581436731381</v>
      </c>
      <c r="AO189" s="169">
        <f t="shared" ca="1" si="111"/>
        <v>141</v>
      </c>
      <c r="AP189" s="169">
        <f t="shared" ca="1" si="112"/>
        <v>109</v>
      </c>
      <c r="AQ189" s="158">
        <f t="shared" ca="1" si="113"/>
        <v>0</v>
      </c>
      <c r="AR189" s="158">
        <f t="shared" ca="1" si="114"/>
        <v>37.536100721154071</v>
      </c>
      <c r="AS189" s="170"/>
      <c r="AT189" s="159"/>
      <c r="AU189" s="159"/>
    </row>
    <row r="190" spans="1:47" x14ac:dyDescent="0.6">
      <c r="A190" s="171" t="str">
        <f t="shared" ca="1" si="80"/>
        <v>Mai 2039</v>
      </c>
      <c r="B190" s="191">
        <v>0</v>
      </c>
      <c r="C190" s="269">
        <f t="shared" ca="1" si="100"/>
        <v>5.4899999999999997E-2</v>
      </c>
      <c r="D190" s="173" t="str">
        <f t="shared" ca="1" si="101"/>
        <v/>
      </c>
      <c r="E190" s="174" t="str">
        <f t="shared" ca="1" si="102"/>
        <v/>
      </c>
      <c r="F190" s="175">
        <f t="shared" ca="1" si="103"/>
        <v>49</v>
      </c>
      <c r="G190" s="10">
        <v>173</v>
      </c>
      <c r="H190" s="176">
        <f t="shared" ca="1" si="104"/>
        <v>140</v>
      </c>
      <c r="I190" s="12">
        <f t="shared" ca="1" si="105"/>
        <v>13459.666280448693</v>
      </c>
      <c r="J190" s="12">
        <f t="shared" ca="1" si="81"/>
        <v>5255.0541009615463</v>
      </c>
      <c r="K190" s="177">
        <f t="shared" ca="1" si="82"/>
        <v>8204.6121794871469</v>
      </c>
      <c r="L190" s="177">
        <f t="shared" ca="1" si="83"/>
        <v>1140441.0929487196</v>
      </c>
      <c r="M190" s="11">
        <f t="shared" ca="1" si="84"/>
        <v>0</v>
      </c>
      <c r="N190" s="12">
        <f ca="1">IF(Y190=0, 0, ROUND(SUM(Y$17:Y190)-SUM(J$17:J190),0))</f>
        <v>0</v>
      </c>
      <c r="O190" s="12" t="str">
        <f t="shared" ca="1" si="85"/>
        <v/>
      </c>
      <c r="P190" s="12" t="str">
        <f t="shared" ca="1" si="86"/>
        <v/>
      </c>
      <c r="Q190" s="178">
        <f t="shared" ca="1" si="116"/>
        <v>5000000</v>
      </c>
      <c r="R190" s="178">
        <f t="shared" ca="1" si="116"/>
        <v>0</v>
      </c>
      <c r="S190" s="178">
        <f t="shared" ca="1" si="116"/>
        <v>358488</v>
      </c>
      <c r="T190" s="178">
        <f t="shared" ca="1" si="116"/>
        <v>628000</v>
      </c>
      <c r="U190" s="179" t="str">
        <f t="shared" ca="1" si="87"/>
        <v/>
      </c>
      <c r="V190" s="180">
        <f t="shared" ca="1" si="79"/>
        <v>2.3899999999999997</v>
      </c>
      <c r="W190" s="181">
        <f t="shared" ca="1" si="106"/>
        <v>140</v>
      </c>
      <c r="X190" s="177">
        <f t="shared" ca="1" si="88"/>
        <v>13459.66628044872</v>
      </c>
      <c r="Y190" s="12">
        <f t="shared" ca="1" si="89"/>
        <v>5255.0541009615399</v>
      </c>
      <c r="Z190" s="182">
        <f t="shared" ca="1" si="90"/>
        <v>1140441.0929487182</v>
      </c>
      <c r="AA190" s="271">
        <f t="shared" ca="1" si="107"/>
        <v>0.22</v>
      </c>
      <c r="AB190" s="12">
        <f t="shared" ca="1" si="91"/>
        <v>12341.774378237154</v>
      </c>
      <c r="AC190" s="12">
        <f t="shared" ca="1" si="92"/>
        <v>12341.77437823718</v>
      </c>
      <c r="AD190" s="199"/>
      <c r="AE190" s="273">
        <f t="shared" ca="1" si="93"/>
        <v>1.6821425527395739E-3</v>
      </c>
      <c r="AF190" s="184">
        <f t="shared" ca="1" si="94"/>
        <v>0.74858378946262294</v>
      </c>
      <c r="AG190" s="12">
        <f t="shared" ca="1" si="95"/>
        <v>9238.8522327534756</v>
      </c>
      <c r="AH190" s="12">
        <f t="shared" ca="1" si="96"/>
        <v>9238.8522327534956</v>
      </c>
      <c r="AI190" s="185">
        <f t="shared" ca="1" si="97"/>
        <v>49</v>
      </c>
      <c r="AJ190" s="177">
        <f t="shared" ca="1" si="98"/>
        <v>49</v>
      </c>
      <c r="AK190" s="12">
        <f t="shared" ca="1" si="99"/>
        <v>-13508.666280448693</v>
      </c>
      <c r="AL190" s="185">
        <f t="shared" ca="1" si="108"/>
        <v>13459.666280448693</v>
      </c>
      <c r="AM190" s="177">
        <f t="shared" ca="1" si="109"/>
        <v>13497.202381169847</v>
      </c>
      <c r="AN190" s="177">
        <f t="shared" ca="1" si="110"/>
        <v>11128.855476605459</v>
      </c>
      <c r="AO190" s="196">
        <f t="shared" ca="1" si="111"/>
        <v>140</v>
      </c>
      <c r="AP190" s="196">
        <f t="shared" ca="1" si="112"/>
        <v>109</v>
      </c>
      <c r="AQ190" s="177">
        <f t="shared" ca="1" si="113"/>
        <v>0</v>
      </c>
      <c r="AR190" s="177">
        <f t="shared" ca="1" si="114"/>
        <v>37.536100721154071</v>
      </c>
      <c r="AS190" s="189"/>
      <c r="AT190" s="190"/>
      <c r="AU190" s="190"/>
    </row>
    <row r="191" spans="1:47" x14ac:dyDescent="0.6">
      <c r="A191" s="152" t="str">
        <f t="shared" ca="1" si="80"/>
        <v>Juni 2039</v>
      </c>
      <c r="B191" s="191">
        <v>0</v>
      </c>
      <c r="C191" s="270">
        <f t="shared" ca="1" si="100"/>
        <v>5.4899999999999997E-2</v>
      </c>
      <c r="D191" s="192" t="str">
        <f t="shared" ca="1" si="101"/>
        <v/>
      </c>
      <c r="E191" s="193" t="str">
        <f t="shared" ca="1" si="102"/>
        <v/>
      </c>
      <c r="F191" s="194">
        <f t="shared" ca="1" si="103"/>
        <v>49</v>
      </c>
      <c r="G191" s="14">
        <v>174</v>
      </c>
      <c r="H191" s="157">
        <f t="shared" ca="1" si="104"/>
        <v>139</v>
      </c>
      <c r="I191" s="16">
        <f t="shared" ca="1" si="105"/>
        <v>13422.130179727539</v>
      </c>
      <c r="J191" s="16">
        <f t="shared" ca="1" si="81"/>
        <v>5217.5180002403922</v>
      </c>
      <c r="K191" s="158">
        <f t="shared" ca="1" si="82"/>
        <v>8204.6121794871469</v>
      </c>
      <c r="L191" s="158">
        <f t="shared" ca="1" si="83"/>
        <v>1132236.4807692324</v>
      </c>
      <c r="M191" s="15">
        <f t="shared" ca="1" si="84"/>
        <v>0</v>
      </c>
      <c r="N191" s="16">
        <f ca="1">IF(Y191=0, 0, ROUND(SUM(Y$17:Y191)-SUM(J$17:J191),0))</f>
        <v>0</v>
      </c>
      <c r="O191" s="16" t="str">
        <f t="shared" ca="1" si="85"/>
        <v/>
      </c>
      <c r="P191" s="16">
        <f t="shared" ca="1" si="86"/>
        <v>3860000</v>
      </c>
      <c r="Q191" s="160">
        <f t="shared" ca="1" si="116"/>
        <v>5000000</v>
      </c>
      <c r="R191" s="160">
        <f t="shared" ca="1" si="116"/>
        <v>0</v>
      </c>
      <c r="S191" s="160">
        <f t="shared" ca="1" si="116"/>
        <v>358488</v>
      </c>
      <c r="T191" s="160">
        <f t="shared" ca="1" si="116"/>
        <v>628000</v>
      </c>
      <c r="U191" s="161" t="str">
        <f t="shared" ca="1" si="87"/>
        <v/>
      </c>
      <c r="V191" s="162">
        <f t="shared" ca="1" si="79"/>
        <v>2.38</v>
      </c>
      <c r="W191" s="195">
        <f t="shared" ca="1" si="106"/>
        <v>139</v>
      </c>
      <c r="X191" s="158">
        <f t="shared" ca="1" si="88"/>
        <v>13422.130179727566</v>
      </c>
      <c r="Y191" s="16">
        <f t="shared" ca="1" si="89"/>
        <v>5217.5180002403858</v>
      </c>
      <c r="Z191" s="164">
        <f t="shared" ca="1" si="90"/>
        <v>1132236.480769231</v>
      </c>
      <c r="AA191" s="272">
        <f t="shared" ca="1" si="107"/>
        <v>0.22</v>
      </c>
      <c r="AB191" s="16">
        <f t="shared" ca="1" si="91"/>
        <v>12312.496219674653</v>
      </c>
      <c r="AC191" s="16">
        <f t="shared" ca="1" si="92"/>
        <v>12312.496219674682</v>
      </c>
      <c r="AD191" s="197"/>
      <c r="AE191" s="274">
        <f t="shared" ca="1" si="93"/>
        <v>1.6821425527395739E-3</v>
      </c>
      <c r="AF191" s="166">
        <f t="shared" ca="1" si="94"/>
        <v>0.74732456481607679</v>
      </c>
      <c r="AG191" s="16">
        <f t="shared" ca="1" si="95"/>
        <v>9201.4308791679505</v>
      </c>
      <c r="AH191" s="16">
        <f t="shared" ca="1" si="96"/>
        <v>9201.4308791679723</v>
      </c>
      <c r="AI191" s="168">
        <f t="shared" ca="1" si="97"/>
        <v>49</v>
      </c>
      <c r="AJ191" s="158">
        <f t="shared" ca="1" si="98"/>
        <v>49</v>
      </c>
      <c r="AK191" s="16">
        <f t="shared" ca="1" si="99"/>
        <v>-13471.130179727539</v>
      </c>
      <c r="AL191" s="168">
        <f t="shared" ca="1" si="108"/>
        <v>13422.130179727539</v>
      </c>
      <c r="AM191" s="158">
        <f t="shared" ca="1" si="109"/>
        <v>13459.666280448693</v>
      </c>
      <c r="AN191" s="158">
        <f t="shared" ca="1" si="110"/>
        <v>11106.156934145582</v>
      </c>
      <c r="AO191" s="169">
        <f t="shared" ca="1" si="111"/>
        <v>139</v>
      </c>
      <c r="AP191" s="169">
        <f t="shared" ca="1" si="112"/>
        <v>108</v>
      </c>
      <c r="AQ191" s="158">
        <f t="shared" ca="1" si="113"/>
        <v>0</v>
      </c>
      <c r="AR191" s="158">
        <f t="shared" ca="1" si="114"/>
        <v>37.536100721154071</v>
      </c>
      <c r="AS191" s="170"/>
      <c r="AT191" s="159"/>
      <c r="AU191" s="159"/>
    </row>
    <row r="192" spans="1:47" x14ac:dyDescent="0.6">
      <c r="A192" s="171" t="str">
        <f t="shared" ca="1" si="80"/>
        <v>Juli 2039</v>
      </c>
      <c r="B192" s="191">
        <v>0</v>
      </c>
      <c r="C192" s="269">
        <f t="shared" ca="1" si="100"/>
        <v>5.4899999999999997E-2</v>
      </c>
      <c r="D192" s="173" t="str">
        <f t="shared" ca="1" si="101"/>
        <v/>
      </c>
      <c r="E192" s="174" t="str">
        <f t="shared" ca="1" si="102"/>
        <v/>
      </c>
      <c r="F192" s="175">
        <f t="shared" ca="1" si="103"/>
        <v>49</v>
      </c>
      <c r="G192" s="10">
        <v>175</v>
      </c>
      <c r="H192" s="176">
        <f t="shared" ca="1" si="104"/>
        <v>138</v>
      </c>
      <c r="I192" s="12">
        <f t="shared" ca="1" si="105"/>
        <v>13384.594079006385</v>
      </c>
      <c r="J192" s="12">
        <f t="shared" ca="1" si="81"/>
        <v>5179.9818995192381</v>
      </c>
      <c r="K192" s="177">
        <f t="shared" ca="1" si="82"/>
        <v>8204.6121794871469</v>
      </c>
      <c r="L192" s="177">
        <f t="shared" ca="1" si="83"/>
        <v>1124031.8685897451</v>
      </c>
      <c r="M192" s="11">
        <f t="shared" ca="1" si="84"/>
        <v>0</v>
      </c>
      <c r="N192" s="12">
        <f ca="1">IF(Y192=0, 0, ROUND(SUM(Y$17:Y192)-SUM(J$17:J192),0))</f>
        <v>0</v>
      </c>
      <c r="O192" s="12" t="str">
        <f t="shared" ca="1" si="85"/>
        <v/>
      </c>
      <c r="P192" s="12">
        <f t="shared" ca="1" si="86"/>
        <v>3870000</v>
      </c>
      <c r="Q192" s="178">
        <f t="shared" ca="1" si="116"/>
        <v>5000000</v>
      </c>
      <c r="R192" s="178">
        <f t="shared" ca="1" si="116"/>
        <v>0</v>
      </c>
      <c r="S192" s="178">
        <f t="shared" ca="1" si="116"/>
        <v>358488</v>
      </c>
      <c r="T192" s="178">
        <f t="shared" ca="1" si="116"/>
        <v>628000</v>
      </c>
      <c r="U192" s="179" t="str">
        <f t="shared" ca="1" si="87"/>
        <v/>
      </c>
      <c r="V192" s="180">
        <f t="shared" ca="1" si="79"/>
        <v>2.3699999999999997</v>
      </c>
      <c r="W192" s="181">
        <f t="shared" ca="1" si="106"/>
        <v>138</v>
      </c>
      <c r="X192" s="177">
        <f t="shared" ca="1" si="88"/>
        <v>13384.594079006412</v>
      </c>
      <c r="Y192" s="12">
        <f t="shared" ca="1" si="89"/>
        <v>5179.9818995192318</v>
      </c>
      <c r="Z192" s="182">
        <f t="shared" ca="1" si="90"/>
        <v>1124031.8685897437</v>
      </c>
      <c r="AA192" s="271">
        <f t="shared" ca="1" si="107"/>
        <v>0.22</v>
      </c>
      <c r="AB192" s="12">
        <f t="shared" ca="1" si="91"/>
        <v>12283.218061112153</v>
      </c>
      <c r="AC192" s="12">
        <f t="shared" ca="1" si="92"/>
        <v>12283.21806111218</v>
      </c>
      <c r="AD192" s="199"/>
      <c r="AE192" s="273">
        <f t="shared" ca="1" si="93"/>
        <v>1.6821425527395739E-3</v>
      </c>
      <c r="AF192" s="184">
        <f t="shared" ca="1" si="94"/>
        <v>0.74606745836489208</v>
      </c>
      <c r="AG192" s="12">
        <f t="shared" ca="1" si="95"/>
        <v>9164.1092793956814</v>
      </c>
      <c r="AH192" s="12">
        <f t="shared" ca="1" si="96"/>
        <v>9164.1092793957014</v>
      </c>
      <c r="AI192" s="185">
        <f t="shared" ca="1" si="97"/>
        <v>49</v>
      </c>
      <c r="AJ192" s="177">
        <f t="shared" ca="1" si="98"/>
        <v>49</v>
      </c>
      <c r="AK192" s="12">
        <f t="shared" ca="1" si="99"/>
        <v>-13433.594079006385</v>
      </c>
      <c r="AL192" s="185">
        <f t="shared" ca="1" si="108"/>
        <v>13384.594079006385</v>
      </c>
      <c r="AM192" s="177">
        <f t="shared" ca="1" si="109"/>
        <v>13422.130179727539</v>
      </c>
      <c r="AN192" s="177">
        <f t="shared" ca="1" si="110"/>
        <v>11083.485825172438</v>
      </c>
      <c r="AO192" s="196">
        <f t="shared" ca="1" si="111"/>
        <v>138</v>
      </c>
      <c r="AP192" s="196">
        <f t="shared" ca="1" si="112"/>
        <v>107</v>
      </c>
      <c r="AQ192" s="177">
        <f t="shared" ca="1" si="113"/>
        <v>0</v>
      </c>
      <c r="AR192" s="177">
        <f t="shared" ca="1" si="114"/>
        <v>37.536100721154071</v>
      </c>
      <c r="AS192" s="189"/>
      <c r="AT192" s="190"/>
      <c r="AU192" s="190"/>
    </row>
    <row r="193" spans="1:47" x14ac:dyDescent="0.6">
      <c r="A193" s="152" t="str">
        <f t="shared" ca="1" si="80"/>
        <v>August 2039</v>
      </c>
      <c r="B193" s="191">
        <v>0</v>
      </c>
      <c r="C193" s="270">
        <f t="shared" ca="1" si="100"/>
        <v>5.4899999999999997E-2</v>
      </c>
      <c r="D193" s="192" t="str">
        <f t="shared" ca="1" si="101"/>
        <v/>
      </c>
      <c r="E193" s="193" t="str">
        <f t="shared" ca="1" si="102"/>
        <v/>
      </c>
      <c r="F193" s="194">
        <f t="shared" ca="1" si="103"/>
        <v>49</v>
      </c>
      <c r="G193" s="14">
        <v>176</v>
      </c>
      <c r="H193" s="157">
        <f t="shared" ca="1" si="104"/>
        <v>137</v>
      </c>
      <c r="I193" s="16">
        <f t="shared" ca="1" si="105"/>
        <v>13347.057978285229</v>
      </c>
      <c r="J193" s="16">
        <f t="shared" ca="1" si="81"/>
        <v>5142.4457987980832</v>
      </c>
      <c r="K193" s="158">
        <f t="shared" ca="1" si="82"/>
        <v>8204.6121794871469</v>
      </c>
      <c r="L193" s="158">
        <f t="shared" ca="1" si="83"/>
        <v>1115827.2564102579</v>
      </c>
      <c r="M193" s="15">
        <f t="shared" ca="1" si="84"/>
        <v>0</v>
      </c>
      <c r="N193" s="16">
        <f ca="1">IF(Y193=0, 0, ROUND(SUM(Y$17:Y193)-SUM(J$17:J193),0))</f>
        <v>0</v>
      </c>
      <c r="O193" s="16" t="str">
        <f t="shared" ca="1" si="85"/>
        <v/>
      </c>
      <c r="P193" s="16">
        <f t="shared" ca="1" si="86"/>
        <v>3880000</v>
      </c>
      <c r="Q193" s="160">
        <f t="shared" ca="1" si="116"/>
        <v>5000000</v>
      </c>
      <c r="R193" s="160">
        <f t="shared" ca="1" si="116"/>
        <v>0</v>
      </c>
      <c r="S193" s="160">
        <f t="shared" ca="1" si="116"/>
        <v>358488</v>
      </c>
      <c r="T193" s="160">
        <f t="shared" ca="1" si="116"/>
        <v>628000</v>
      </c>
      <c r="U193" s="161" t="str">
        <f t="shared" ca="1" si="87"/>
        <v/>
      </c>
      <c r="V193" s="162">
        <f t="shared" ca="1" si="79"/>
        <v>2.3499999999999996</v>
      </c>
      <c r="W193" s="195">
        <f t="shared" ca="1" si="106"/>
        <v>137</v>
      </c>
      <c r="X193" s="158">
        <f t="shared" ca="1" si="88"/>
        <v>13347.057978285258</v>
      </c>
      <c r="Y193" s="16">
        <f t="shared" ca="1" si="89"/>
        <v>5142.4457987980777</v>
      </c>
      <c r="Z193" s="164">
        <f t="shared" ca="1" si="90"/>
        <v>1115827.2564102565</v>
      </c>
      <c r="AA193" s="272">
        <f t="shared" ca="1" si="107"/>
        <v>0.22</v>
      </c>
      <c r="AB193" s="16">
        <f t="shared" ca="1" si="91"/>
        <v>12253.939902549651</v>
      </c>
      <c r="AC193" s="16">
        <f t="shared" ca="1" si="92"/>
        <v>12253.93990254968</v>
      </c>
      <c r="AD193" s="197"/>
      <c r="AE193" s="274">
        <f t="shared" ca="1" si="93"/>
        <v>1.6821425527395739E-3</v>
      </c>
      <c r="AF193" s="166">
        <f t="shared" ca="1" si="94"/>
        <v>0.74481246654596223</v>
      </c>
      <c r="AG193" s="16">
        <f t="shared" ca="1" si="95"/>
        <v>9126.8872037239944</v>
      </c>
      <c r="AH193" s="16">
        <f t="shared" ca="1" si="96"/>
        <v>9126.8872037240162</v>
      </c>
      <c r="AI193" s="168">
        <f t="shared" ca="1" si="97"/>
        <v>49</v>
      </c>
      <c r="AJ193" s="158">
        <f t="shared" ca="1" si="98"/>
        <v>49</v>
      </c>
      <c r="AK193" s="16">
        <f t="shared" ca="1" si="99"/>
        <v>-13396.057978285229</v>
      </c>
      <c r="AL193" s="168">
        <f t="shared" ca="1" si="108"/>
        <v>13347.057978285229</v>
      </c>
      <c r="AM193" s="158">
        <f t="shared" ca="1" si="109"/>
        <v>13384.594079006385</v>
      </c>
      <c r="AN193" s="158">
        <f t="shared" ca="1" si="110"/>
        <v>11060.842165404056</v>
      </c>
      <c r="AO193" s="169">
        <f t="shared" ca="1" si="111"/>
        <v>137</v>
      </c>
      <c r="AP193" s="169">
        <f t="shared" ca="1" si="112"/>
        <v>107</v>
      </c>
      <c r="AQ193" s="158">
        <f t="shared" ca="1" si="113"/>
        <v>0</v>
      </c>
      <c r="AR193" s="158">
        <f t="shared" ca="1" si="114"/>
        <v>37.53610072115589</v>
      </c>
      <c r="AS193" s="170"/>
      <c r="AT193" s="159"/>
      <c r="AU193" s="159"/>
    </row>
    <row r="194" spans="1:47" x14ac:dyDescent="0.6">
      <c r="A194" s="171" t="str">
        <f t="shared" ca="1" si="80"/>
        <v>September 2039</v>
      </c>
      <c r="B194" s="191">
        <v>0</v>
      </c>
      <c r="C194" s="269">
        <f t="shared" ca="1" si="100"/>
        <v>5.4899999999999997E-2</v>
      </c>
      <c r="D194" s="173" t="str">
        <f t="shared" ca="1" si="101"/>
        <v/>
      </c>
      <c r="E194" s="174" t="str">
        <f t="shared" ca="1" si="102"/>
        <v/>
      </c>
      <c r="F194" s="175">
        <f t="shared" ca="1" si="103"/>
        <v>49</v>
      </c>
      <c r="G194" s="10">
        <v>177</v>
      </c>
      <c r="H194" s="176">
        <f t="shared" ca="1" si="104"/>
        <v>136</v>
      </c>
      <c r="I194" s="12">
        <f t="shared" ca="1" si="105"/>
        <v>13309.521877564075</v>
      </c>
      <c r="J194" s="12">
        <f t="shared" ca="1" si="81"/>
        <v>5104.9096980769291</v>
      </c>
      <c r="K194" s="177">
        <f t="shared" ca="1" si="82"/>
        <v>8204.6121794871469</v>
      </c>
      <c r="L194" s="177">
        <f t="shared" ca="1" si="83"/>
        <v>1107622.6442307706</v>
      </c>
      <c r="M194" s="11">
        <f t="shared" ca="1" si="84"/>
        <v>0</v>
      </c>
      <c r="N194" s="12">
        <f ca="1">IF(Y194=0, 0, ROUND(SUM(Y$17:Y194)-SUM(J$17:J194),0))</f>
        <v>0</v>
      </c>
      <c r="O194" s="12" t="str">
        <f t="shared" ca="1" si="85"/>
        <v/>
      </c>
      <c r="P194" s="12">
        <f t="shared" ca="1" si="86"/>
        <v>3890000</v>
      </c>
      <c r="Q194" s="178">
        <f t="shared" ca="1" si="116"/>
        <v>5000000</v>
      </c>
      <c r="R194" s="178">
        <f t="shared" ca="1" si="116"/>
        <v>0</v>
      </c>
      <c r="S194" s="178">
        <f t="shared" ca="1" si="116"/>
        <v>358488</v>
      </c>
      <c r="T194" s="178">
        <f t="shared" ca="1" si="116"/>
        <v>628000</v>
      </c>
      <c r="U194" s="179" t="str">
        <f t="shared" ca="1" si="87"/>
        <v/>
      </c>
      <c r="V194" s="180">
        <f t="shared" ca="1" si="79"/>
        <v>2.34</v>
      </c>
      <c r="W194" s="181">
        <f t="shared" ca="1" si="106"/>
        <v>136</v>
      </c>
      <c r="X194" s="177">
        <f t="shared" ca="1" si="88"/>
        <v>13309.521877564104</v>
      </c>
      <c r="Y194" s="12">
        <f t="shared" ca="1" si="89"/>
        <v>5104.9096980769236</v>
      </c>
      <c r="Z194" s="182">
        <f t="shared" ca="1" si="90"/>
        <v>1107622.6442307695</v>
      </c>
      <c r="AA194" s="271">
        <f t="shared" ca="1" si="107"/>
        <v>0.22</v>
      </c>
      <c r="AB194" s="12">
        <f t="shared" ca="1" si="91"/>
        <v>12224.661743987152</v>
      </c>
      <c r="AC194" s="12">
        <f t="shared" ca="1" si="92"/>
        <v>12224.661743987181</v>
      </c>
      <c r="AD194" s="199"/>
      <c r="AE194" s="273">
        <f t="shared" ca="1" si="93"/>
        <v>1.6821425527395739E-3</v>
      </c>
      <c r="AF194" s="184">
        <f t="shared" ca="1" si="94"/>
        <v>0.74355958580217429</v>
      </c>
      <c r="AG194" s="12">
        <f t="shared" ca="1" si="95"/>
        <v>9089.7644229307716</v>
      </c>
      <c r="AH194" s="12">
        <f t="shared" ca="1" si="96"/>
        <v>9089.7644229307934</v>
      </c>
      <c r="AI194" s="185">
        <f t="shared" ca="1" si="97"/>
        <v>49</v>
      </c>
      <c r="AJ194" s="177">
        <f t="shared" ca="1" si="98"/>
        <v>49</v>
      </c>
      <c r="AK194" s="12">
        <f t="shared" ca="1" si="99"/>
        <v>-13358.521877564075</v>
      </c>
      <c r="AL194" s="185">
        <f t="shared" ca="1" si="108"/>
        <v>13309.521877564075</v>
      </c>
      <c r="AM194" s="177">
        <f t="shared" ca="1" si="109"/>
        <v>13347.057978285229</v>
      </c>
      <c r="AN194" s="177">
        <f t="shared" ca="1" si="110"/>
        <v>11038.225970455565</v>
      </c>
      <c r="AO194" s="196">
        <f t="shared" ca="1" si="111"/>
        <v>136</v>
      </c>
      <c r="AP194" s="196">
        <f t="shared" ca="1" si="112"/>
        <v>106</v>
      </c>
      <c r="AQ194" s="177">
        <f t="shared" ca="1" si="113"/>
        <v>0</v>
      </c>
      <c r="AR194" s="177">
        <f t="shared" ca="1" si="114"/>
        <v>37.536100721154071</v>
      </c>
      <c r="AS194" s="189"/>
      <c r="AT194" s="190"/>
      <c r="AU194" s="190"/>
    </row>
    <row r="195" spans="1:47" x14ac:dyDescent="0.6">
      <c r="A195" s="152" t="str">
        <f t="shared" ca="1" si="80"/>
        <v>Oktober 2039</v>
      </c>
      <c r="B195" s="191">
        <v>0</v>
      </c>
      <c r="C195" s="270">
        <f t="shared" ca="1" si="100"/>
        <v>5.4899999999999997E-2</v>
      </c>
      <c r="D195" s="192" t="str">
        <f t="shared" ca="1" si="101"/>
        <v/>
      </c>
      <c r="E195" s="193" t="str">
        <f t="shared" ca="1" si="102"/>
        <v/>
      </c>
      <c r="F195" s="194">
        <f t="shared" ca="1" si="103"/>
        <v>49</v>
      </c>
      <c r="G195" s="14">
        <v>178</v>
      </c>
      <c r="H195" s="157">
        <f t="shared" ca="1" si="104"/>
        <v>135</v>
      </c>
      <c r="I195" s="16">
        <f t="shared" ca="1" si="105"/>
        <v>13271.985776842921</v>
      </c>
      <c r="J195" s="16">
        <f t="shared" ca="1" si="81"/>
        <v>5067.373597355775</v>
      </c>
      <c r="K195" s="158">
        <f t="shared" ca="1" si="82"/>
        <v>8204.6121794871469</v>
      </c>
      <c r="L195" s="158">
        <f t="shared" ca="1" si="83"/>
        <v>1099418.0320512834</v>
      </c>
      <c r="M195" s="15">
        <f t="shared" ca="1" si="84"/>
        <v>0</v>
      </c>
      <c r="N195" s="16">
        <f ca="1">IF(Y195=0, 0, ROUND(SUM(Y$17:Y195)-SUM(J$17:J195),0))</f>
        <v>0</v>
      </c>
      <c r="O195" s="16" t="str">
        <f t="shared" ca="1" si="85"/>
        <v/>
      </c>
      <c r="P195" s="16">
        <f t="shared" ca="1" si="86"/>
        <v>3900000</v>
      </c>
      <c r="Q195" s="160">
        <f t="shared" ca="1" si="116"/>
        <v>5000000</v>
      </c>
      <c r="R195" s="160">
        <f t="shared" ca="1" si="116"/>
        <v>0</v>
      </c>
      <c r="S195" s="160">
        <f t="shared" ca="1" si="116"/>
        <v>358488</v>
      </c>
      <c r="T195" s="160">
        <f t="shared" ca="1" si="116"/>
        <v>628000</v>
      </c>
      <c r="U195" s="161" t="str">
        <f t="shared" ca="1" si="87"/>
        <v/>
      </c>
      <c r="V195" s="162">
        <f t="shared" ca="1" si="79"/>
        <v>2.3299999999999996</v>
      </c>
      <c r="W195" s="195">
        <f t="shared" ca="1" si="106"/>
        <v>135</v>
      </c>
      <c r="X195" s="158">
        <f t="shared" ca="1" si="88"/>
        <v>13271.98577684295</v>
      </c>
      <c r="Y195" s="16">
        <f t="shared" ca="1" si="89"/>
        <v>5067.3735973557696</v>
      </c>
      <c r="Z195" s="164">
        <f t="shared" ca="1" si="90"/>
        <v>1099418.0320512822</v>
      </c>
      <c r="AA195" s="272">
        <f t="shared" ca="1" si="107"/>
        <v>0.22</v>
      </c>
      <c r="AB195" s="16">
        <f t="shared" ca="1" si="91"/>
        <v>12195.383585424652</v>
      </c>
      <c r="AC195" s="16">
        <f t="shared" ca="1" si="92"/>
        <v>12195.383585424679</v>
      </c>
      <c r="AD195" s="197"/>
      <c r="AE195" s="274">
        <f t="shared" ca="1" si="93"/>
        <v>1.6821425527395739E-3</v>
      </c>
      <c r="AF195" s="166">
        <f t="shared" ca="1" si="94"/>
        <v>0.742308812582399</v>
      </c>
      <c r="AG195" s="16">
        <f t="shared" ca="1" si="95"/>
        <v>9052.7407082834525</v>
      </c>
      <c r="AH195" s="16">
        <f t="shared" ca="1" si="96"/>
        <v>9052.7407082834725</v>
      </c>
      <c r="AI195" s="168">
        <f t="shared" ca="1" si="97"/>
        <v>49</v>
      </c>
      <c r="AJ195" s="158">
        <f t="shared" ca="1" si="98"/>
        <v>49</v>
      </c>
      <c r="AK195" s="16">
        <f t="shared" ca="1" si="99"/>
        <v>-13320.985776842921</v>
      </c>
      <c r="AL195" s="168">
        <f t="shared" ca="1" si="108"/>
        <v>13271.985776842921</v>
      </c>
      <c r="AM195" s="158">
        <f t="shared" ca="1" si="109"/>
        <v>13309.521877564075</v>
      </c>
      <c r="AN195" s="158">
        <f t="shared" ca="1" si="110"/>
        <v>11015.637255838994</v>
      </c>
      <c r="AO195" s="169">
        <f t="shared" ca="1" si="111"/>
        <v>135</v>
      </c>
      <c r="AP195" s="169">
        <f t="shared" ca="1" si="112"/>
        <v>105</v>
      </c>
      <c r="AQ195" s="158">
        <f t="shared" ca="1" si="113"/>
        <v>0</v>
      </c>
      <c r="AR195" s="158">
        <f t="shared" ca="1" si="114"/>
        <v>37.536100721154071</v>
      </c>
      <c r="AS195" s="170"/>
      <c r="AT195" s="159"/>
      <c r="AU195" s="159"/>
    </row>
    <row r="196" spans="1:47" x14ac:dyDescent="0.6">
      <c r="A196" s="171" t="str">
        <f t="shared" ca="1" si="80"/>
        <v>November 2039</v>
      </c>
      <c r="B196" s="191">
        <v>0</v>
      </c>
      <c r="C196" s="269">
        <f t="shared" ca="1" si="100"/>
        <v>5.4899999999999997E-2</v>
      </c>
      <c r="D196" s="173" t="str">
        <f t="shared" ca="1" si="101"/>
        <v/>
      </c>
      <c r="E196" s="174" t="str">
        <f t="shared" ca="1" si="102"/>
        <v/>
      </c>
      <c r="F196" s="175">
        <f t="shared" ca="1" si="103"/>
        <v>49</v>
      </c>
      <c r="G196" s="10">
        <v>179</v>
      </c>
      <c r="H196" s="176">
        <f t="shared" ca="1" si="104"/>
        <v>134</v>
      </c>
      <c r="I196" s="12">
        <f t="shared" ca="1" si="105"/>
        <v>13234.449676121767</v>
      </c>
      <c r="J196" s="12">
        <f t="shared" ca="1" si="81"/>
        <v>5029.8374966346209</v>
      </c>
      <c r="K196" s="177">
        <f t="shared" ca="1" si="82"/>
        <v>8204.6121794871469</v>
      </c>
      <c r="L196" s="177">
        <f t="shared" ca="1" si="83"/>
        <v>1091213.4198717962</v>
      </c>
      <c r="M196" s="11">
        <f t="shared" ca="1" si="84"/>
        <v>0</v>
      </c>
      <c r="N196" s="12">
        <f ca="1">IF(Y196=0, 0, ROUND(SUM(Y$17:Y196)-SUM(J$17:J196),0))</f>
        <v>0</v>
      </c>
      <c r="O196" s="12" t="str">
        <f t="shared" ca="1" si="85"/>
        <v/>
      </c>
      <c r="P196" s="12" t="str">
        <f t="shared" ca="1" si="86"/>
        <v/>
      </c>
      <c r="Q196" s="178">
        <f t="shared" ca="1" si="116"/>
        <v>5000000</v>
      </c>
      <c r="R196" s="178">
        <f t="shared" ca="1" si="116"/>
        <v>0</v>
      </c>
      <c r="S196" s="178">
        <f t="shared" ca="1" si="116"/>
        <v>358488</v>
      </c>
      <c r="T196" s="178">
        <f t="shared" ca="1" si="116"/>
        <v>628000</v>
      </c>
      <c r="U196" s="179" t="str">
        <f t="shared" ca="1" si="87"/>
        <v/>
      </c>
      <c r="V196" s="180">
        <f t="shared" ca="1" si="79"/>
        <v>2.3099999999999996</v>
      </c>
      <c r="W196" s="181">
        <f t="shared" ca="1" si="106"/>
        <v>134</v>
      </c>
      <c r="X196" s="177">
        <f t="shared" ca="1" si="88"/>
        <v>13234.449676121796</v>
      </c>
      <c r="Y196" s="12">
        <f t="shared" ca="1" si="89"/>
        <v>5029.8374966346155</v>
      </c>
      <c r="Z196" s="182">
        <f t="shared" ca="1" si="90"/>
        <v>1091213.419871795</v>
      </c>
      <c r="AA196" s="271">
        <f t="shared" ca="1" si="107"/>
        <v>0.22</v>
      </c>
      <c r="AB196" s="12">
        <f t="shared" ca="1" si="91"/>
        <v>12166.105426862152</v>
      </c>
      <c r="AC196" s="12">
        <f t="shared" ca="1" si="92"/>
        <v>12166.105426862179</v>
      </c>
      <c r="AD196" s="199"/>
      <c r="AE196" s="273">
        <f t="shared" ca="1" si="93"/>
        <v>1.6821425527395739E-3</v>
      </c>
      <c r="AF196" s="184">
        <f t="shared" ca="1" si="94"/>
        <v>0.74106014334148052</v>
      </c>
      <c r="AG196" s="12">
        <f t="shared" ca="1" si="95"/>
        <v>9015.8158315380297</v>
      </c>
      <c r="AH196" s="12">
        <f t="shared" ca="1" si="96"/>
        <v>9015.8158315380497</v>
      </c>
      <c r="AI196" s="185">
        <f t="shared" ca="1" si="97"/>
        <v>49</v>
      </c>
      <c r="AJ196" s="177">
        <f t="shared" ca="1" si="98"/>
        <v>49</v>
      </c>
      <c r="AK196" s="12">
        <f t="shared" ca="1" si="99"/>
        <v>-13283.449676121767</v>
      </c>
      <c r="AL196" s="185">
        <f t="shared" ca="1" si="108"/>
        <v>13234.449676121767</v>
      </c>
      <c r="AM196" s="177">
        <f t="shared" ca="1" si="109"/>
        <v>13271.985776842921</v>
      </c>
      <c r="AN196" s="177">
        <f t="shared" ca="1" si="110"/>
        <v>10993.076036963033</v>
      </c>
      <c r="AO196" s="196">
        <f t="shared" ca="1" si="111"/>
        <v>134</v>
      </c>
      <c r="AP196" s="196">
        <f t="shared" ca="1" si="112"/>
        <v>105</v>
      </c>
      <c r="AQ196" s="177">
        <f t="shared" ca="1" si="113"/>
        <v>0</v>
      </c>
      <c r="AR196" s="177">
        <f t="shared" ca="1" si="114"/>
        <v>37.536100721154071</v>
      </c>
      <c r="AS196" s="189"/>
      <c r="AT196" s="190"/>
      <c r="AU196" s="190"/>
    </row>
    <row r="197" spans="1:47" x14ac:dyDescent="0.6">
      <c r="A197" s="152" t="str">
        <f t="shared" ca="1" si="80"/>
        <v>Desember 2039</v>
      </c>
      <c r="B197" s="191">
        <v>0</v>
      </c>
      <c r="C197" s="270">
        <f t="shared" ca="1" si="100"/>
        <v>5.4899999999999997E-2</v>
      </c>
      <c r="D197" s="192" t="str">
        <f t="shared" ca="1" si="101"/>
        <v/>
      </c>
      <c r="E197" s="193" t="str">
        <f t="shared" ca="1" si="102"/>
        <v/>
      </c>
      <c r="F197" s="194">
        <f t="shared" ca="1" si="103"/>
        <v>49</v>
      </c>
      <c r="G197" s="14">
        <v>180</v>
      </c>
      <c r="H197" s="157">
        <f t="shared" ca="1" si="104"/>
        <v>133</v>
      </c>
      <c r="I197" s="16">
        <f t="shared" ca="1" si="105"/>
        <v>13196.913575400613</v>
      </c>
      <c r="J197" s="16">
        <f t="shared" ca="1" si="81"/>
        <v>4992.3013959134669</v>
      </c>
      <c r="K197" s="158">
        <f t="shared" ca="1" si="82"/>
        <v>8204.6121794871469</v>
      </c>
      <c r="L197" s="158">
        <f t="shared" ca="1" si="83"/>
        <v>1083008.8076923089</v>
      </c>
      <c r="M197" s="15">
        <f t="shared" ca="1" si="84"/>
        <v>0</v>
      </c>
      <c r="N197" s="16">
        <f ca="1">IF(Y197=0, 0, ROUND(SUM(Y$17:Y197)-SUM(J$17:J197),0))</f>
        <v>0</v>
      </c>
      <c r="O197" s="16" t="str">
        <f t="shared" ca="1" si="85"/>
        <v/>
      </c>
      <c r="P197" s="16">
        <f t="shared" ca="1" si="86"/>
        <v>3910000</v>
      </c>
      <c r="Q197" s="160">
        <f t="shared" ca="1" si="116"/>
        <v>5000000</v>
      </c>
      <c r="R197" s="160">
        <f t="shared" ca="1" si="116"/>
        <v>0</v>
      </c>
      <c r="S197" s="160">
        <f t="shared" ca="1" si="116"/>
        <v>358488</v>
      </c>
      <c r="T197" s="160">
        <f t="shared" ca="1" si="116"/>
        <v>628000</v>
      </c>
      <c r="U197" s="161" t="str">
        <f t="shared" ca="1" si="87"/>
        <v/>
      </c>
      <c r="V197" s="162">
        <f t="shared" ca="1" si="79"/>
        <v>2.2999999999999998</v>
      </c>
      <c r="W197" s="195">
        <f t="shared" ca="1" si="106"/>
        <v>133</v>
      </c>
      <c r="X197" s="158">
        <f t="shared" ca="1" si="88"/>
        <v>13196.913575400642</v>
      </c>
      <c r="Y197" s="16">
        <f t="shared" ca="1" si="89"/>
        <v>4992.3013959134614</v>
      </c>
      <c r="Z197" s="164">
        <f t="shared" ca="1" si="90"/>
        <v>1083008.8076923077</v>
      </c>
      <c r="AA197" s="272">
        <f t="shared" ca="1" si="107"/>
        <v>0.22</v>
      </c>
      <c r="AB197" s="16">
        <f t="shared" ca="1" si="91"/>
        <v>12136.82726829965</v>
      </c>
      <c r="AC197" s="16">
        <f t="shared" ca="1" si="92"/>
        <v>12136.827268299679</v>
      </c>
      <c r="AD197" s="197"/>
      <c r="AE197" s="274">
        <f t="shared" ca="1" si="93"/>
        <v>1.6821425527395739E-3</v>
      </c>
      <c r="AF197" s="166">
        <f t="shared" ca="1" si="94"/>
        <v>0.73981357454022656</v>
      </c>
      <c r="AG197" s="16">
        <f t="shared" ca="1" si="95"/>
        <v>8978.9895649380578</v>
      </c>
      <c r="AH197" s="16">
        <f t="shared" ca="1" si="96"/>
        <v>8978.9895649380796</v>
      </c>
      <c r="AI197" s="168">
        <f t="shared" ca="1" si="97"/>
        <v>49</v>
      </c>
      <c r="AJ197" s="158">
        <f t="shared" ca="1" si="98"/>
        <v>49</v>
      </c>
      <c r="AK197" s="16">
        <f t="shared" ca="1" si="99"/>
        <v>-13245.913575400613</v>
      </c>
      <c r="AL197" s="168">
        <f t="shared" ca="1" si="108"/>
        <v>13196.913575400613</v>
      </c>
      <c r="AM197" s="158">
        <f t="shared" ca="1" si="109"/>
        <v>13234.449676121767</v>
      </c>
      <c r="AN197" s="158">
        <f t="shared" ca="1" si="110"/>
        <v>10970.542329132828</v>
      </c>
      <c r="AO197" s="169">
        <f t="shared" ca="1" si="111"/>
        <v>133</v>
      </c>
      <c r="AP197" s="169">
        <f t="shared" ca="1" si="112"/>
        <v>104</v>
      </c>
      <c r="AQ197" s="158">
        <f t="shared" ca="1" si="113"/>
        <v>0</v>
      </c>
      <c r="AR197" s="158">
        <f t="shared" ca="1" si="114"/>
        <v>37.536100721154071</v>
      </c>
      <c r="AS197" s="170"/>
      <c r="AT197" s="159"/>
      <c r="AU197" s="159"/>
    </row>
    <row r="198" spans="1:47" x14ac:dyDescent="0.6">
      <c r="A198" s="171" t="str">
        <f t="shared" ca="1" si="80"/>
        <v>Januar 2040</v>
      </c>
      <c r="B198" s="191">
        <v>0</v>
      </c>
      <c r="C198" s="269">
        <f t="shared" ca="1" si="100"/>
        <v>5.4899999999999997E-2</v>
      </c>
      <c r="D198" s="173" t="str">
        <f t="shared" ca="1" si="101"/>
        <v/>
      </c>
      <c r="E198" s="174" t="str">
        <f t="shared" ca="1" si="102"/>
        <v/>
      </c>
      <c r="F198" s="175">
        <f t="shared" ca="1" si="103"/>
        <v>49</v>
      </c>
      <c r="G198" s="10">
        <v>181</v>
      </c>
      <c r="H198" s="176">
        <f t="shared" ca="1" si="104"/>
        <v>132</v>
      </c>
      <c r="I198" s="12">
        <f t="shared" ca="1" si="105"/>
        <v>13159.377474679459</v>
      </c>
      <c r="J198" s="12">
        <f t="shared" ca="1" si="81"/>
        <v>4954.7652951923128</v>
      </c>
      <c r="K198" s="177">
        <f t="shared" ca="1" si="82"/>
        <v>8204.6121794871469</v>
      </c>
      <c r="L198" s="177">
        <f t="shared" ca="1" si="83"/>
        <v>1074804.1955128217</v>
      </c>
      <c r="M198" s="11">
        <f t="shared" ca="1" si="84"/>
        <v>0</v>
      </c>
      <c r="N198" s="12">
        <f ca="1">IF(Y198=0, 0, ROUND(SUM(Y$17:Y198)-SUM(J$17:J198),0))</f>
        <v>0</v>
      </c>
      <c r="O198" s="12" t="str">
        <f t="shared" ca="1" si="85"/>
        <v/>
      </c>
      <c r="P198" s="12">
        <f t="shared" ca="1" si="86"/>
        <v>3920000</v>
      </c>
      <c r="Q198" s="178">
        <f t="shared" ref="Q198:T217" ca="1" si="117">OFFSET(Q198,-1,0,1,1)</f>
        <v>5000000</v>
      </c>
      <c r="R198" s="178">
        <f t="shared" ca="1" si="117"/>
        <v>0</v>
      </c>
      <c r="S198" s="178">
        <f t="shared" ca="1" si="117"/>
        <v>358488</v>
      </c>
      <c r="T198" s="178">
        <f t="shared" ca="1" si="117"/>
        <v>628000</v>
      </c>
      <c r="U198" s="179" t="str">
        <f t="shared" ca="1" si="87"/>
        <v/>
      </c>
      <c r="V198" s="180">
        <f t="shared" ca="1" si="79"/>
        <v>2.2899999999999996</v>
      </c>
      <c r="W198" s="181">
        <f t="shared" ca="1" si="106"/>
        <v>132</v>
      </c>
      <c r="X198" s="177">
        <f t="shared" ca="1" si="88"/>
        <v>13159.377474679488</v>
      </c>
      <c r="Y198" s="12">
        <f t="shared" ca="1" si="89"/>
        <v>4954.7652951923073</v>
      </c>
      <c r="Z198" s="182">
        <f t="shared" ca="1" si="90"/>
        <v>1074804.1955128207</v>
      </c>
      <c r="AA198" s="271">
        <f t="shared" ca="1" si="107"/>
        <v>0.22</v>
      </c>
      <c r="AB198" s="12">
        <f t="shared" ca="1" si="91"/>
        <v>12107.549109737151</v>
      </c>
      <c r="AC198" s="12">
        <f t="shared" ca="1" si="92"/>
        <v>12107.54910973718</v>
      </c>
      <c r="AD198" s="199"/>
      <c r="AE198" s="273">
        <f t="shared" ca="1" si="93"/>
        <v>1.6821425527395739E-3</v>
      </c>
      <c r="AF198" s="184">
        <f t="shared" ca="1" si="94"/>
        <v>0.7385691026453981</v>
      </c>
      <c r="AG198" s="12">
        <f t="shared" ca="1" si="95"/>
        <v>8942.2616812136566</v>
      </c>
      <c r="AH198" s="12">
        <f t="shared" ca="1" si="96"/>
        <v>8942.2616812136766</v>
      </c>
      <c r="AI198" s="185">
        <f t="shared" ca="1" si="97"/>
        <v>49</v>
      </c>
      <c r="AJ198" s="177">
        <f t="shared" ca="1" si="98"/>
        <v>49</v>
      </c>
      <c r="AK198" s="12">
        <f t="shared" ca="1" si="99"/>
        <v>-13208.377474679459</v>
      </c>
      <c r="AL198" s="185">
        <f t="shared" ca="1" si="108"/>
        <v>13159.377474679459</v>
      </c>
      <c r="AM198" s="177">
        <f t="shared" ca="1" si="109"/>
        <v>13196.913575400613</v>
      </c>
      <c r="AN198" s="177">
        <f t="shared" ca="1" si="110"/>
        <v>10948.036147549738</v>
      </c>
      <c r="AO198" s="196">
        <f t="shared" ca="1" si="111"/>
        <v>132</v>
      </c>
      <c r="AP198" s="196">
        <f t="shared" ca="1" si="112"/>
        <v>104</v>
      </c>
      <c r="AQ198" s="177">
        <f t="shared" ca="1" si="113"/>
        <v>0</v>
      </c>
      <c r="AR198" s="177">
        <f t="shared" ca="1" si="114"/>
        <v>37.536100721154071</v>
      </c>
      <c r="AS198" s="189"/>
      <c r="AT198" s="190"/>
      <c r="AU198" s="190"/>
    </row>
    <row r="199" spans="1:47" x14ac:dyDescent="0.6">
      <c r="A199" s="152" t="str">
        <f t="shared" ca="1" si="80"/>
        <v>Februar 2040</v>
      </c>
      <c r="B199" s="191">
        <v>0</v>
      </c>
      <c r="C199" s="270">
        <f t="shared" ca="1" si="100"/>
        <v>5.4899999999999997E-2</v>
      </c>
      <c r="D199" s="192" t="str">
        <f t="shared" ca="1" si="101"/>
        <v/>
      </c>
      <c r="E199" s="193" t="str">
        <f t="shared" ca="1" si="102"/>
        <v/>
      </c>
      <c r="F199" s="194">
        <f t="shared" ca="1" si="103"/>
        <v>49</v>
      </c>
      <c r="G199" s="14">
        <v>182</v>
      </c>
      <c r="H199" s="157">
        <f t="shared" ca="1" si="104"/>
        <v>131</v>
      </c>
      <c r="I199" s="16">
        <f t="shared" ca="1" si="105"/>
        <v>13121.841373958305</v>
      </c>
      <c r="J199" s="16">
        <f t="shared" ca="1" si="81"/>
        <v>4917.2291944711587</v>
      </c>
      <c r="K199" s="158">
        <f t="shared" ca="1" si="82"/>
        <v>8204.6121794871469</v>
      </c>
      <c r="L199" s="158">
        <f t="shared" ca="1" si="83"/>
        <v>1066599.5833333344</v>
      </c>
      <c r="M199" s="15">
        <f t="shared" ca="1" si="84"/>
        <v>0</v>
      </c>
      <c r="N199" s="16">
        <f ca="1">IF(Y199=0, 0, ROUND(SUM(Y$17:Y199)-SUM(J$17:J199),0))</f>
        <v>0</v>
      </c>
      <c r="O199" s="16" t="str">
        <f t="shared" ca="1" si="85"/>
        <v/>
      </c>
      <c r="P199" s="16">
        <f t="shared" ca="1" si="86"/>
        <v>3930000</v>
      </c>
      <c r="Q199" s="160">
        <f t="shared" ca="1" si="117"/>
        <v>5000000</v>
      </c>
      <c r="R199" s="160">
        <f t="shared" ca="1" si="117"/>
        <v>0</v>
      </c>
      <c r="S199" s="160">
        <f t="shared" ca="1" si="117"/>
        <v>358488</v>
      </c>
      <c r="T199" s="160">
        <f t="shared" ca="1" si="117"/>
        <v>628000</v>
      </c>
      <c r="U199" s="161" t="str">
        <f t="shared" ca="1" si="87"/>
        <v/>
      </c>
      <c r="V199" s="162">
        <f t="shared" ca="1" si="79"/>
        <v>2.2699999999999996</v>
      </c>
      <c r="W199" s="195">
        <f t="shared" ca="1" si="106"/>
        <v>131</v>
      </c>
      <c r="X199" s="158">
        <f t="shared" ca="1" si="88"/>
        <v>13121.841373958334</v>
      </c>
      <c r="Y199" s="16">
        <f t="shared" ca="1" si="89"/>
        <v>4917.2291944711551</v>
      </c>
      <c r="Z199" s="164">
        <f t="shared" ca="1" si="90"/>
        <v>1066599.5833333335</v>
      </c>
      <c r="AA199" s="272">
        <f t="shared" ca="1" si="107"/>
        <v>0.22</v>
      </c>
      <c r="AB199" s="16">
        <f t="shared" ca="1" si="91"/>
        <v>12078.270951174651</v>
      </c>
      <c r="AC199" s="16">
        <f t="shared" ca="1" si="92"/>
        <v>12078.27095117468</v>
      </c>
      <c r="AD199" s="197"/>
      <c r="AE199" s="274">
        <f t="shared" ca="1" si="93"/>
        <v>1.6821425527395739E-3</v>
      </c>
      <c r="AF199" s="166">
        <f t="shared" ca="1" si="94"/>
        <v>0.73732672412969957</v>
      </c>
      <c r="AG199" s="16">
        <f t="shared" ca="1" si="95"/>
        <v>8905.631953580516</v>
      </c>
      <c r="AH199" s="16">
        <f t="shared" ca="1" si="96"/>
        <v>8905.6319535805378</v>
      </c>
      <c r="AI199" s="168">
        <f t="shared" ca="1" si="97"/>
        <v>49</v>
      </c>
      <c r="AJ199" s="158">
        <f t="shared" ca="1" si="98"/>
        <v>49</v>
      </c>
      <c r="AK199" s="16">
        <f t="shared" ca="1" si="99"/>
        <v>-13170.841373958305</v>
      </c>
      <c r="AL199" s="168">
        <f t="shared" ca="1" si="108"/>
        <v>13121.841373958305</v>
      </c>
      <c r="AM199" s="158">
        <f t="shared" ca="1" si="109"/>
        <v>13159.377474679459</v>
      </c>
      <c r="AN199" s="158">
        <f t="shared" ca="1" si="110"/>
        <v>10925.557507311158</v>
      </c>
      <c r="AO199" s="169">
        <f t="shared" ca="1" si="111"/>
        <v>131</v>
      </c>
      <c r="AP199" s="169">
        <f t="shared" ca="1" si="112"/>
        <v>103</v>
      </c>
      <c r="AQ199" s="158">
        <f t="shared" ca="1" si="113"/>
        <v>0</v>
      </c>
      <c r="AR199" s="158">
        <f t="shared" ca="1" si="114"/>
        <v>37.536100721154071</v>
      </c>
      <c r="AS199" s="170"/>
      <c r="AT199" s="159"/>
      <c r="AU199" s="159"/>
    </row>
    <row r="200" spans="1:47" x14ac:dyDescent="0.6">
      <c r="A200" s="171" t="str">
        <f t="shared" ca="1" si="80"/>
        <v>Mars 2040</v>
      </c>
      <c r="B200" s="191">
        <v>0</v>
      </c>
      <c r="C200" s="269">
        <f t="shared" ca="1" si="100"/>
        <v>5.4899999999999997E-2</v>
      </c>
      <c r="D200" s="173" t="str">
        <f t="shared" ca="1" si="101"/>
        <v/>
      </c>
      <c r="E200" s="174" t="str">
        <f t="shared" ca="1" si="102"/>
        <v/>
      </c>
      <c r="F200" s="175">
        <f t="shared" ca="1" si="103"/>
        <v>49</v>
      </c>
      <c r="G200" s="10">
        <v>183</v>
      </c>
      <c r="H200" s="176">
        <f t="shared" ca="1" si="104"/>
        <v>130</v>
      </c>
      <c r="I200" s="12">
        <f t="shared" ca="1" si="105"/>
        <v>13084.305273237151</v>
      </c>
      <c r="J200" s="12">
        <f t="shared" ca="1" si="81"/>
        <v>4879.6930937500047</v>
      </c>
      <c r="K200" s="177">
        <f t="shared" ca="1" si="82"/>
        <v>8204.6121794871469</v>
      </c>
      <c r="L200" s="177">
        <f t="shared" ca="1" si="83"/>
        <v>1058394.9711538472</v>
      </c>
      <c r="M200" s="11">
        <f t="shared" ca="1" si="84"/>
        <v>0</v>
      </c>
      <c r="N200" s="12">
        <f ca="1">IF(Y200=0, 0, ROUND(SUM(Y$17:Y200)-SUM(J$17:J200),0))</f>
        <v>0</v>
      </c>
      <c r="O200" s="12" t="str">
        <f t="shared" ca="1" si="85"/>
        <v/>
      </c>
      <c r="P200" s="12">
        <f t="shared" ca="1" si="86"/>
        <v>3940000</v>
      </c>
      <c r="Q200" s="178">
        <f t="shared" ca="1" si="117"/>
        <v>5000000</v>
      </c>
      <c r="R200" s="178">
        <f t="shared" ca="1" si="117"/>
        <v>0</v>
      </c>
      <c r="S200" s="178">
        <f t="shared" ca="1" si="117"/>
        <v>358488</v>
      </c>
      <c r="T200" s="178">
        <f t="shared" ca="1" si="117"/>
        <v>628000</v>
      </c>
      <c r="U200" s="179" t="str">
        <f t="shared" ca="1" si="87"/>
        <v/>
      </c>
      <c r="V200" s="180">
        <f t="shared" ca="1" si="79"/>
        <v>2.2599999999999998</v>
      </c>
      <c r="W200" s="181">
        <f t="shared" ca="1" si="106"/>
        <v>130</v>
      </c>
      <c r="X200" s="177">
        <f t="shared" ca="1" si="88"/>
        <v>13084.30527323718</v>
      </c>
      <c r="Y200" s="12">
        <f t="shared" ca="1" si="89"/>
        <v>4879.693093750001</v>
      </c>
      <c r="Z200" s="182">
        <f t="shared" ca="1" si="90"/>
        <v>1058394.9711538462</v>
      </c>
      <c r="AA200" s="271">
        <f t="shared" ca="1" si="107"/>
        <v>0.22</v>
      </c>
      <c r="AB200" s="12">
        <f t="shared" ca="1" si="91"/>
        <v>12048.992792612151</v>
      </c>
      <c r="AC200" s="12">
        <f t="shared" ca="1" si="92"/>
        <v>12048.99279261218</v>
      </c>
      <c r="AD200" s="199"/>
      <c r="AE200" s="273">
        <f t="shared" ca="1" si="93"/>
        <v>1.6821425527395739E-3</v>
      </c>
      <c r="AF200" s="184">
        <f t="shared" ca="1" si="94"/>
        <v>0.73608643547176889</v>
      </c>
      <c r="AG200" s="12">
        <f t="shared" ca="1" si="95"/>
        <v>8869.1001557389118</v>
      </c>
      <c r="AH200" s="12">
        <f t="shared" ca="1" si="96"/>
        <v>8869.1001557389336</v>
      </c>
      <c r="AI200" s="185">
        <f t="shared" ca="1" si="97"/>
        <v>49</v>
      </c>
      <c r="AJ200" s="177">
        <f t="shared" ca="1" si="98"/>
        <v>49</v>
      </c>
      <c r="AK200" s="12">
        <f t="shared" ca="1" si="99"/>
        <v>-13133.305273237151</v>
      </c>
      <c r="AL200" s="185">
        <f t="shared" ca="1" si="108"/>
        <v>13084.305273237151</v>
      </c>
      <c r="AM200" s="177">
        <f t="shared" ca="1" si="109"/>
        <v>13121.841373958305</v>
      </c>
      <c r="AN200" s="177">
        <f t="shared" ca="1" si="110"/>
        <v>10903.106423410265</v>
      </c>
      <c r="AO200" s="196">
        <f t="shared" ca="1" si="111"/>
        <v>130</v>
      </c>
      <c r="AP200" s="196">
        <f t="shared" ca="1" si="112"/>
        <v>102</v>
      </c>
      <c r="AQ200" s="177">
        <f t="shared" ca="1" si="113"/>
        <v>0</v>
      </c>
      <c r="AR200" s="177">
        <f t="shared" ca="1" si="114"/>
        <v>37.536100721154071</v>
      </c>
      <c r="AS200" s="189"/>
      <c r="AT200" s="190"/>
      <c r="AU200" s="190"/>
    </row>
    <row r="201" spans="1:47" x14ac:dyDescent="0.6">
      <c r="A201" s="152" t="str">
        <f t="shared" ca="1" si="80"/>
        <v>April 2040</v>
      </c>
      <c r="B201" s="191">
        <v>0</v>
      </c>
      <c r="C201" s="270">
        <f t="shared" ca="1" si="100"/>
        <v>5.4899999999999997E-2</v>
      </c>
      <c r="D201" s="192" t="str">
        <f t="shared" ca="1" si="101"/>
        <v/>
      </c>
      <c r="E201" s="193" t="str">
        <f t="shared" ca="1" si="102"/>
        <v/>
      </c>
      <c r="F201" s="194">
        <f t="shared" ca="1" si="103"/>
        <v>49</v>
      </c>
      <c r="G201" s="14">
        <v>184</v>
      </c>
      <c r="H201" s="157">
        <f t="shared" ca="1" si="104"/>
        <v>129</v>
      </c>
      <c r="I201" s="16">
        <f t="shared" ca="1" si="105"/>
        <v>13046.769172515997</v>
      </c>
      <c r="J201" s="16">
        <f t="shared" ca="1" si="81"/>
        <v>4842.1569930288506</v>
      </c>
      <c r="K201" s="158">
        <f t="shared" ca="1" si="82"/>
        <v>8204.6121794871469</v>
      </c>
      <c r="L201" s="158">
        <f t="shared" ca="1" si="83"/>
        <v>1050190.3589743599</v>
      </c>
      <c r="M201" s="15">
        <f t="shared" ca="1" si="84"/>
        <v>0</v>
      </c>
      <c r="N201" s="16">
        <f ca="1">IF(Y201=0, 0, ROUND(SUM(Y$17:Y201)-SUM(J$17:J201),0))</f>
        <v>0</v>
      </c>
      <c r="O201" s="16" t="str">
        <f t="shared" ca="1" si="85"/>
        <v/>
      </c>
      <c r="P201" s="16" t="str">
        <f t="shared" ca="1" si="86"/>
        <v/>
      </c>
      <c r="Q201" s="160">
        <f t="shared" ca="1" si="117"/>
        <v>5000000</v>
      </c>
      <c r="R201" s="160">
        <f t="shared" ca="1" si="117"/>
        <v>0</v>
      </c>
      <c r="S201" s="160">
        <f t="shared" ca="1" si="117"/>
        <v>358488</v>
      </c>
      <c r="T201" s="160">
        <f t="shared" ca="1" si="117"/>
        <v>628000</v>
      </c>
      <c r="U201" s="161" t="str">
        <f t="shared" ca="1" si="87"/>
        <v/>
      </c>
      <c r="V201" s="162">
        <f t="shared" ca="1" si="79"/>
        <v>2.25</v>
      </c>
      <c r="W201" s="195">
        <f t="shared" ca="1" si="106"/>
        <v>129</v>
      </c>
      <c r="X201" s="158">
        <f t="shared" ca="1" si="88"/>
        <v>13046.769172516026</v>
      </c>
      <c r="Y201" s="16">
        <f t="shared" ca="1" si="89"/>
        <v>4842.156993028846</v>
      </c>
      <c r="Z201" s="164">
        <f t="shared" ca="1" si="90"/>
        <v>1050190.3589743592</v>
      </c>
      <c r="AA201" s="272">
        <f t="shared" ca="1" si="107"/>
        <v>0.22</v>
      </c>
      <c r="AB201" s="16">
        <f t="shared" ca="1" si="91"/>
        <v>12019.714634049651</v>
      </c>
      <c r="AC201" s="16">
        <f t="shared" ca="1" si="92"/>
        <v>12019.71463404968</v>
      </c>
      <c r="AD201" s="197"/>
      <c r="AE201" s="274">
        <f t="shared" ca="1" si="93"/>
        <v>1.6821425527395739E-3</v>
      </c>
      <c r="AF201" s="166">
        <f t="shared" ca="1" si="94"/>
        <v>0.73484823315616743</v>
      </c>
      <c r="AG201" s="16">
        <f t="shared" ca="1" si="95"/>
        <v>8832.6660618727165</v>
      </c>
      <c r="AH201" s="16">
        <f t="shared" ca="1" si="96"/>
        <v>8832.6660618727365</v>
      </c>
      <c r="AI201" s="168">
        <f t="shared" ca="1" si="97"/>
        <v>49</v>
      </c>
      <c r="AJ201" s="158">
        <f t="shared" ca="1" si="98"/>
        <v>49</v>
      </c>
      <c r="AK201" s="16">
        <f t="shared" ca="1" si="99"/>
        <v>-13095.769172515997</v>
      </c>
      <c r="AL201" s="168">
        <f t="shared" ca="1" si="108"/>
        <v>13046.769172515997</v>
      </c>
      <c r="AM201" s="158">
        <f t="shared" ca="1" si="109"/>
        <v>13084.305273237151</v>
      </c>
      <c r="AN201" s="158">
        <f t="shared" ca="1" si="110"/>
        <v>10880.682910735826</v>
      </c>
      <c r="AO201" s="169">
        <f t="shared" ca="1" si="111"/>
        <v>129</v>
      </c>
      <c r="AP201" s="169">
        <f t="shared" ca="1" si="112"/>
        <v>102</v>
      </c>
      <c r="AQ201" s="158">
        <f t="shared" ca="1" si="113"/>
        <v>0</v>
      </c>
      <c r="AR201" s="158">
        <f t="shared" ca="1" si="114"/>
        <v>37.536100721154071</v>
      </c>
      <c r="AS201" s="170"/>
      <c r="AT201" s="159"/>
      <c r="AU201" s="159"/>
    </row>
    <row r="202" spans="1:47" x14ac:dyDescent="0.6">
      <c r="A202" s="171" t="str">
        <f t="shared" ca="1" si="80"/>
        <v>Mai 2040</v>
      </c>
      <c r="B202" s="191">
        <v>0</v>
      </c>
      <c r="C202" s="269">
        <f t="shared" ca="1" si="100"/>
        <v>5.4899999999999997E-2</v>
      </c>
      <c r="D202" s="173" t="str">
        <f t="shared" ca="1" si="101"/>
        <v/>
      </c>
      <c r="E202" s="174" t="str">
        <f t="shared" ca="1" si="102"/>
        <v/>
      </c>
      <c r="F202" s="175">
        <f t="shared" ca="1" si="103"/>
        <v>49</v>
      </c>
      <c r="G202" s="10">
        <v>185</v>
      </c>
      <c r="H202" s="176">
        <f t="shared" ca="1" si="104"/>
        <v>128</v>
      </c>
      <c r="I202" s="12">
        <f t="shared" ca="1" si="105"/>
        <v>13009.233071794843</v>
      </c>
      <c r="J202" s="12">
        <f t="shared" ca="1" si="81"/>
        <v>4804.6208923076965</v>
      </c>
      <c r="K202" s="177">
        <f t="shared" ca="1" si="82"/>
        <v>8204.6121794871469</v>
      </c>
      <c r="L202" s="177">
        <f t="shared" ca="1" si="83"/>
        <v>1041985.7467948728</v>
      </c>
      <c r="M202" s="11">
        <f t="shared" ca="1" si="84"/>
        <v>0</v>
      </c>
      <c r="N202" s="12">
        <f ca="1">IF(Y202=0, 0, ROUND(SUM(Y$17:Y202)-SUM(J$17:J202),0))</f>
        <v>0</v>
      </c>
      <c r="O202" s="12" t="str">
        <f t="shared" ca="1" si="85"/>
        <v/>
      </c>
      <c r="P202" s="12">
        <f t="shared" ca="1" si="86"/>
        <v>3950000</v>
      </c>
      <c r="Q202" s="178">
        <f t="shared" ca="1" si="117"/>
        <v>5000000</v>
      </c>
      <c r="R202" s="178">
        <f t="shared" ca="1" si="117"/>
        <v>0</v>
      </c>
      <c r="S202" s="178">
        <f t="shared" ca="1" si="117"/>
        <v>358488</v>
      </c>
      <c r="T202" s="178">
        <f t="shared" ca="1" si="117"/>
        <v>628000</v>
      </c>
      <c r="U202" s="179" t="str">
        <f t="shared" ca="1" si="87"/>
        <v/>
      </c>
      <c r="V202" s="180">
        <f t="shared" ca="1" si="79"/>
        <v>2.2399999999999998</v>
      </c>
      <c r="W202" s="181">
        <f t="shared" ca="1" si="106"/>
        <v>128</v>
      </c>
      <c r="X202" s="177">
        <f t="shared" ca="1" si="88"/>
        <v>13009.233071794872</v>
      </c>
      <c r="Y202" s="12">
        <f t="shared" ca="1" si="89"/>
        <v>4804.6208923076929</v>
      </c>
      <c r="Z202" s="182">
        <f t="shared" ca="1" si="90"/>
        <v>1041985.7467948721</v>
      </c>
      <c r="AA202" s="271">
        <f t="shared" ca="1" si="107"/>
        <v>0.22</v>
      </c>
      <c r="AB202" s="12">
        <f t="shared" ca="1" si="91"/>
        <v>11990.436475487149</v>
      </c>
      <c r="AC202" s="12">
        <f t="shared" ca="1" si="92"/>
        <v>11990.43647548718</v>
      </c>
      <c r="AD202" s="199"/>
      <c r="AE202" s="273">
        <f t="shared" ca="1" si="93"/>
        <v>1.6821425527395739E-3</v>
      </c>
      <c r="AF202" s="184">
        <f t="shared" ca="1" si="94"/>
        <v>0.73361211367336998</v>
      </c>
      <c r="AG202" s="12">
        <f t="shared" ca="1" si="95"/>
        <v>8796.3294466484003</v>
      </c>
      <c r="AH202" s="12">
        <f t="shared" ca="1" si="96"/>
        <v>8796.3294466484222</v>
      </c>
      <c r="AI202" s="185">
        <f t="shared" ca="1" si="97"/>
        <v>49</v>
      </c>
      <c r="AJ202" s="177">
        <f t="shared" ca="1" si="98"/>
        <v>49</v>
      </c>
      <c r="AK202" s="12">
        <f t="shared" ca="1" si="99"/>
        <v>-13058.233071794843</v>
      </c>
      <c r="AL202" s="185">
        <f t="shared" ca="1" si="108"/>
        <v>13009.233071794843</v>
      </c>
      <c r="AM202" s="177">
        <f t="shared" ca="1" si="109"/>
        <v>13046.769172515997</v>
      </c>
      <c r="AN202" s="177">
        <f t="shared" ca="1" si="110"/>
        <v>10858.286984071981</v>
      </c>
      <c r="AO202" s="196">
        <f t="shared" ca="1" si="111"/>
        <v>128</v>
      </c>
      <c r="AP202" s="196">
        <f t="shared" ca="1" si="112"/>
        <v>101</v>
      </c>
      <c r="AQ202" s="177">
        <f t="shared" ca="1" si="113"/>
        <v>0</v>
      </c>
      <c r="AR202" s="177">
        <f t="shared" ca="1" si="114"/>
        <v>37.536100721154071</v>
      </c>
      <c r="AS202" s="189"/>
      <c r="AT202" s="190"/>
      <c r="AU202" s="190"/>
    </row>
    <row r="203" spans="1:47" x14ac:dyDescent="0.6">
      <c r="A203" s="152" t="str">
        <f t="shared" ca="1" si="80"/>
        <v>Juni 2040</v>
      </c>
      <c r="B203" s="191">
        <v>0</v>
      </c>
      <c r="C203" s="270">
        <f t="shared" ca="1" si="100"/>
        <v>5.4899999999999997E-2</v>
      </c>
      <c r="D203" s="192" t="str">
        <f t="shared" ca="1" si="101"/>
        <v/>
      </c>
      <c r="E203" s="193" t="str">
        <f t="shared" ca="1" si="102"/>
        <v/>
      </c>
      <c r="F203" s="194">
        <f t="shared" ca="1" si="103"/>
        <v>49</v>
      </c>
      <c r="G203" s="14">
        <v>186</v>
      </c>
      <c r="H203" s="157">
        <f t="shared" ca="1" si="104"/>
        <v>127</v>
      </c>
      <c r="I203" s="16">
        <f t="shared" ca="1" si="105"/>
        <v>12971.696971073688</v>
      </c>
      <c r="J203" s="16">
        <f t="shared" ca="1" si="81"/>
        <v>4767.0847915865425</v>
      </c>
      <c r="K203" s="158">
        <f t="shared" ca="1" si="82"/>
        <v>8204.6121794871469</v>
      </c>
      <c r="L203" s="158">
        <f t="shared" ca="1" si="83"/>
        <v>1033781.1346153857</v>
      </c>
      <c r="M203" s="15">
        <f t="shared" ca="1" si="84"/>
        <v>0</v>
      </c>
      <c r="N203" s="16">
        <f ca="1">IF(Y203=0, 0, ROUND(SUM(Y$17:Y203)-SUM(J$17:J203),0))</f>
        <v>0</v>
      </c>
      <c r="O203" s="16" t="str">
        <f t="shared" ca="1" si="85"/>
        <v/>
      </c>
      <c r="P203" s="16">
        <f t="shared" ca="1" si="86"/>
        <v>3960000</v>
      </c>
      <c r="Q203" s="160">
        <f t="shared" ca="1" si="117"/>
        <v>5000000</v>
      </c>
      <c r="R203" s="160">
        <f t="shared" ca="1" si="117"/>
        <v>0</v>
      </c>
      <c r="S203" s="160">
        <f t="shared" ca="1" si="117"/>
        <v>358488</v>
      </c>
      <c r="T203" s="160">
        <f t="shared" ca="1" si="117"/>
        <v>628000</v>
      </c>
      <c r="U203" s="161" t="str">
        <f t="shared" ca="1" si="87"/>
        <v/>
      </c>
      <c r="V203" s="162">
        <f t="shared" ca="1" si="79"/>
        <v>2.2199999999999998</v>
      </c>
      <c r="W203" s="195">
        <f t="shared" ca="1" si="106"/>
        <v>127</v>
      </c>
      <c r="X203" s="158">
        <f t="shared" ca="1" si="88"/>
        <v>12971.696971073719</v>
      </c>
      <c r="Y203" s="16">
        <f t="shared" ca="1" si="89"/>
        <v>4767.0847915865397</v>
      </c>
      <c r="Z203" s="164">
        <f t="shared" ca="1" si="90"/>
        <v>1033781.1346153849</v>
      </c>
      <c r="AA203" s="272">
        <f t="shared" ca="1" si="107"/>
        <v>0.22</v>
      </c>
      <c r="AB203" s="16">
        <f t="shared" ca="1" si="91"/>
        <v>11961.15831692465</v>
      </c>
      <c r="AC203" s="16">
        <f t="shared" ca="1" si="92"/>
        <v>11961.158316924681</v>
      </c>
      <c r="AD203" s="197"/>
      <c r="AE203" s="274">
        <f t="shared" ca="1" si="93"/>
        <v>1.6821425527395739E-3</v>
      </c>
      <c r="AF203" s="166">
        <f t="shared" ca="1" si="94"/>
        <v>0.73237807351975481</v>
      </c>
      <c r="AG203" s="16">
        <f t="shared" ca="1" si="95"/>
        <v>8760.0900852140676</v>
      </c>
      <c r="AH203" s="16">
        <f t="shared" ca="1" si="96"/>
        <v>8760.0900852140912</v>
      </c>
      <c r="AI203" s="168">
        <f t="shared" ca="1" si="97"/>
        <v>49</v>
      </c>
      <c r="AJ203" s="158">
        <f t="shared" ca="1" si="98"/>
        <v>49</v>
      </c>
      <c r="AK203" s="16">
        <f t="shared" ca="1" si="99"/>
        <v>-13020.696971073688</v>
      </c>
      <c r="AL203" s="168">
        <f t="shared" ca="1" si="108"/>
        <v>12971.696971073688</v>
      </c>
      <c r="AM203" s="158">
        <f t="shared" ca="1" si="109"/>
        <v>13009.233071794843</v>
      </c>
      <c r="AN203" s="158">
        <f t="shared" ca="1" si="110"/>
        <v>10835.918658098028</v>
      </c>
      <c r="AO203" s="169">
        <f t="shared" ca="1" si="111"/>
        <v>127</v>
      </c>
      <c r="AP203" s="169">
        <f t="shared" ca="1" si="112"/>
        <v>100</v>
      </c>
      <c r="AQ203" s="158">
        <f t="shared" ca="1" si="113"/>
        <v>0</v>
      </c>
      <c r="AR203" s="158">
        <f t="shared" ca="1" si="114"/>
        <v>37.536100721154071</v>
      </c>
      <c r="AS203" s="170"/>
      <c r="AT203" s="159"/>
      <c r="AU203" s="159"/>
    </row>
    <row r="204" spans="1:47" x14ac:dyDescent="0.6">
      <c r="A204" s="171" t="str">
        <f t="shared" ca="1" si="80"/>
        <v>Juli 2040</v>
      </c>
      <c r="B204" s="191">
        <v>0</v>
      </c>
      <c r="C204" s="269">
        <f t="shared" ca="1" si="100"/>
        <v>5.4899999999999997E-2</v>
      </c>
      <c r="D204" s="173" t="str">
        <f t="shared" ca="1" si="101"/>
        <v/>
      </c>
      <c r="E204" s="174" t="str">
        <f t="shared" ca="1" si="102"/>
        <v/>
      </c>
      <c r="F204" s="175">
        <f t="shared" ca="1" si="103"/>
        <v>49</v>
      </c>
      <c r="G204" s="10">
        <v>187</v>
      </c>
      <c r="H204" s="176">
        <f t="shared" ca="1" si="104"/>
        <v>126</v>
      </c>
      <c r="I204" s="12">
        <f t="shared" ca="1" si="105"/>
        <v>12934.160870352536</v>
      </c>
      <c r="J204" s="12">
        <f t="shared" ca="1" si="81"/>
        <v>4729.5486908653893</v>
      </c>
      <c r="K204" s="177">
        <f t="shared" ca="1" si="82"/>
        <v>8204.6121794871469</v>
      </c>
      <c r="L204" s="177">
        <f t="shared" ca="1" si="83"/>
        <v>1025576.5224358985</v>
      </c>
      <c r="M204" s="11">
        <f t="shared" ca="1" si="84"/>
        <v>0</v>
      </c>
      <c r="N204" s="12">
        <f ca="1">IF(Y204=0, 0, ROUND(SUM(Y$17:Y204)-SUM(J$17:J204),0))</f>
        <v>0</v>
      </c>
      <c r="O204" s="12" t="str">
        <f t="shared" ca="1" si="85"/>
        <v/>
      </c>
      <c r="P204" s="12">
        <f t="shared" ca="1" si="86"/>
        <v>3970000</v>
      </c>
      <c r="Q204" s="178">
        <f t="shared" ca="1" si="117"/>
        <v>5000000</v>
      </c>
      <c r="R204" s="178">
        <f t="shared" ca="1" si="117"/>
        <v>0</v>
      </c>
      <c r="S204" s="178">
        <f t="shared" ca="1" si="117"/>
        <v>358488</v>
      </c>
      <c r="T204" s="178">
        <f t="shared" ca="1" si="117"/>
        <v>628000</v>
      </c>
      <c r="U204" s="179" t="str">
        <f t="shared" ca="1" si="87"/>
        <v/>
      </c>
      <c r="V204" s="180">
        <f t="shared" ca="1" si="79"/>
        <v>2.21</v>
      </c>
      <c r="W204" s="181">
        <f t="shared" ca="1" si="106"/>
        <v>126</v>
      </c>
      <c r="X204" s="177">
        <f t="shared" ca="1" si="88"/>
        <v>12934.160870352565</v>
      </c>
      <c r="Y204" s="12">
        <f t="shared" ca="1" si="89"/>
        <v>4729.5486908653857</v>
      </c>
      <c r="Z204" s="182">
        <f t="shared" ca="1" si="90"/>
        <v>1025576.5224358977</v>
      </c>
      <c r="AA204" s="271">
        <f t="shared" ca="1" si="107"/>
        <v>0.22</v>
      </c>
      <c r="AB204" s="12">
        <f t="shared" ca="1" si="91"/>
        <v>11931.88015836215</v>
      </c>
      <c r="AC204" s="12">
        <f t="shared" ca="1" si="92"/>
        <v>11931.880158362181</v>
      </c>
      <c r="AD204" s="199"/>
      <c r="AE204" s="273">
        <f t="shared" ca="1" si="93"/>
        <v>1.6821425527395739E-3</v>
      </c>
      <c r="AF204" s="184">
        <f t="shared" ca="1" si="94"/>
        <v>0.73114610919759382</v>
      </c>
      <c r="AG204" s="12">
        <f t="shared" ca="1" si="95"/>
        <v>8723.9477531984558</v>
      </c>
      <c r="AH204" s="12">
        <f t="shared" ca="1" si="96"/>
        <v>8723.9477531984776</v>
      </c>
      <c r="AI204" s="185">
        <f t="shared" ca="1" si="97"/>
        <v>49</v>
      </c>
      <c r="AJ204" s="177">
        <f t="shared" ca="1" si="98"/>
        <v>49</v>
      </c>
      <c r="AK204" s="12">
        <f t="shared" ca="1" si="99"/>
        <v>-12983.160870352536</v>
      </c>
      <c r="AL204" s="185">
        <f t="shared" ca="1" si="108"/>
        <v>12934.160870352536</v>
      </c>
      <c r="AM204" s="177">
        <f t="shared" ca="1" si="109"/>
        <v>12971.696971073688</v>
      </c>
      <c r="AN204" s="177">
        <f t="shared" ca="1" si="110"/>
        <v>10813.577947388221</v>
      </c>
      <c r="AO204" s="196">
        <f t="shared" ca="1" si="111"/>
        <v>126</v>
      </c>
      <c r="AP204" s="196">
        <f t="shared" ca="1" si="112"/>
        <v>100</v>
      </c>
      <c r="AQ204" s="177">
        <f t="shared" ca="1" si="113"/>
        <v>0</v>
      </c>
      <c r="AR204" s="177">
        <f t="shared" ca="1" si="114"/>
        <v>37.536100721152252</v>
      </c>
      <c r="AS204" s="189"/>
      <c r="AT204" s="190"/>
      <c r="AU204" s="190"/>
    </row>
    <row r="205" spans="1:47" x14ac:dyDescent="0.6">
      <c r="A205" s="152" t="str">
        <f t="shared" ca="1" si="80"/>
        <v>August 2040</v>
      </c>
      <c r="B205" s="191">
        <v>0</v>
      </c>
      <c r="C205" s="270">
        <f t="shared" ca="1" si="100"/>
        <v>5.4899999999999997E-2</v>
      </c>
      <c r="D205" s="192" t="str">
        <f t="shared" ca="1" si="101"/>
        <v/>
      </c>
      <c r="E205" s="193" t="str">
        <f t="shared" ca="1" si="102"/>
        <v/>
      </c>
      <c r="F205" s="194">
        <f t="shared" ca="1" si="103"/>
        <v>49</v>
      </c>
      <c r="G205" s="14">
        <v>188</v>
      </c>
      <c r="H205" s="157">
        <f t="shared" ca="1" si="104"/>
        <v>125</v>
      </c>
      <c r="I205" s="16">
        <f t="shared" ca="1" si="105"/>
        <v>12896.624769631384</v>
      </c>
      <c r="J205" s="16">
        <f t="shared" ca="1" si="81"/>
        <v>4692.0125901442361</v>
      </c>
      <c r="K205" s="158">
        <f t="shared" ca="1" si="82"/>
        <v>8204.6121794871469</v>
      </c>
      <c r="L205" s="158">
        <f t="shared" ca="1" si="83"/>
        <v>1017371.9102564114</v>
      </c>
      <c r="M205" s="15">
        <f t="shared" ca="1" si="84"/>
        <v>0</v>
      </c>
      <c r="N205" s="16">
        <f ca="1">IF(Y205=0, 0, ROUND(SUM(Y$17:Y205)-SUM(J$17:J205),0))</f>
        <v>0</v>
      </c>
      <c r="O205" s="16" t="str">
        <f t="shared" ca="1" si="85"/>
        <v/>
      </c>
      <c r="P205" s="16">
        <f t="shared" ca="1" si="86"/>
        <v>3980000</v>
      </c>
      <c r="Q205" s="160">
        <f t="shared" ca="1" si="117"/>
        <v>5000000</v>
      </c>
      <c r="R205" s="160">
        <f t="shared" ca="1" si="117"/>
        <v>0</v>
      </c>
      <c r="S205" s="160">
        <f t="shared" ca="1" si="117"/>
        <v>358488</v>
      </c>
      <c r="T205" s="160">
        <f t="shared" ca="1" si="117"/>
        <v>628000</v>
      </c>
      <c r="U205" s="161" t="str">
        <f t="shared" ca="1" si="87"/>
        <v/>
      </c>
      <c r="V205" s="162">
        <f t="shared" ca="1" si="79"/>
        <v>2.1999999999999997</v>
      </c>
      <c r="W205" s="195">
        <f t="shared" ca="1" si="106"/>
        <v>125</v>
      </c>
      <c r="X205" s="158">
        <f t="shared" ca="1" si="88"/>
        <v>12896.624769631413</v>
      </c>
      <c r="Y205" s="16">
        <f t="shared" ca="1" si="89"/>
        <v>4692.0125901442325</v>
      </c>
      <c r="Z205" s="164">
        <f t="shared" ca="1" si="90"/>
        <v>1017371.9102564105</v>
      </c>
      <c r="AA205" s="272">
        <f t="shared" ca="1" si="107"/>
        <v>0.22</v>
      </c>
      <c r="AB205" s="16">
        <f t="shared" ca="1" si="91"/>
        <v>11902.601999799652</v>
      </c>
      <c r="AC205" s="16">
        <f t="shared" ca="1" si="92"/>
        <v>11902.601999799681</v>
      </c>
      <c r="AD205" s="197"/>
      <c r="AE205" s="274">
        <f t="shared" ca="1" si="93"/>
        <v>1.6821425527395739E-3</v>
      </c>
      <c r="AF205" s="166">
        <f t="shared" ca="1" si="94"/>
        <v>0.72991621721504252</v>
      </c>
      <c r="AG205" s="16">
        <f t="shared" ca="1" si="95"/>
        <v>8687.9022267099626</v>
      </c>
      <c r="AH205" s="16">
        <f t="shared" ca="1" si="96"/>
        <v>8687.9022267099826</v>
      </c>
      <c r="AI205" s="168">
        <f t="shared" ca="1" si="97"/>
        <v>49</v>
      </c>
      <c r="AJ205" s="158">
        <f t="shared" ca="1" si="98"/>
        <v>49</v>
      </c>
      <c r="AK205" s="16">
        <f t="shared" ca="1" si="99"/>
        <v>-12945.624769631384</v>
      </c>
      <c r="AL205" s="168">
        <f t="shared" ca="1" si="108"/>
        <v>12896.624769631384</v>
      </c>
      <c r="AM205" s="158">
        <f t="shared" ca="1" si="109"/>
        <v>12934.160870352536</v>
      </c>
      <c r="AN205" s="158">
        <f t="shared" ca="1" si="110"/>
        <v>10791.264866411535</v>
      </c>
      <c r="AO205" s="169">
        <f t="shared" ca="1" si="111"/>
        <v>125</v>
      </c>
      <c r="AP205" s="169">
        <f t="shared" ca="1" si="112"/>
        <v>99</v>
      </c>
      <c r="AQ205" s="158">
        <f t="shared" ca="1" si="113"/>
        <v>0</v>
      </c>
      <c r="AR205" s="158">
        <f t="shared" ca="1" si="114"/>
        <v>37.536100721152252</v>
      </c>
      <c r="AS205" s="170"/>
      <c r="AT205" s="159"/>
      <c r="AU205" s="159"/>
    </row>
    <row r="206" spans="1:47" x14ac:dyDescent="0.6">
      <c r="A206" s="171" t="str">
        <f t="shared" ca="1" si="80"/>
        <v>September 2040</v>
      </c>
      <c r="B206" s="191">
        <v>0</v>
      </c>
      <c r="C206" s="269">
        <f t="shared" ca="1" si="100"/>
        <v>5.4899999999999997E-2</v>
      </c>
      <c r="D206" s="173" t="str">
        <f t="shared" ca="1" si="101"/>
        <v/>
      </c>
      <c r="E206" s="174" t="str">
        <f t="shared" ca="1" si="102"/>
        <v/>
      </c>
      <c r="F206" s="175">
        <f t="shared" ca="1" si="103"/>
        <v>49</v>
      </c>
      <c r="G206" s="10">
        <v>189</v>
      </c>
      <c r="H206" s="176">
        <f t="shared" ca="1" si="104"/>
        <v>124</v>
      </c>
      <c r="I206" s="12">
        <f t="shared" ca="1" si="105"/>
        <v>12859.08866891023</v>
      </c>
      <c r="J206" s="12">
        <f t="shared" ca="1" si="81"/>
        <v>4654.4764894230821</v>
      </c>
      <c r="K206" s="177">
        <f t="shared" ca="1" si="82"/>
        <v>8204.6121794871469</v>
      </c>
      <c r="L206" s="177">
        <f t="shared" ca="1" si="83"/>
        <v>1009167.2980769243</v>
      </c>
      <c r="M206" s="11">
        <f t="shared" ca="1" si="84"/>
        <v>0</v>
      </c>
      <c r="N206" s="12">
        <f ca="1">IF(Y206=0, 0, ROUND(SUM(Y$17:Y206)-SUM(J$17:J206),0))</f>
        <v>0</v>
      </c>
      <c r="O206" s="12" t="str">
        <f t="shared" ca="1" si="85"/>
        <v/>
      </c>
      <c r="P206" s="12">
        <f t="shared" ca="1" si="86"/>
        <v>3990000</v>
      </c>
      <c r="Q206" s="178">
        <f t="shared" ca="1" si="117"/>
        <v>5000000</v>
      </c>
      <c r="R206" s="178">
        <f t="shared" ca="1" si="117"/>
        <v>0</v>
      </c>
      <c r="S206" s="178">
        <f t="shared" ca="1" si="117"/>
        <v>358488</v>
      </c>
      <c r="T206" s="178">
        <f t="shared" ca="1" si="117"/>
        <v>628000</v>
      </c>
      <c r="U206" s="179" t="str">
        <f t="shared" ca="1" si="87"/>
        <v/>
      </c>
      <c r="V206" s="180">
        <f t="shared" ca="1" si="79"/>
        <v>2.1799999999999997</v>
      </c>
      <c r="W206" s="181">
        <f t="shared" ca="1" si="106"/>
        <v>124</v>
      </c>
      <c r="X206" s="177">
        <f t="shared" ca="1" si="88"/>
        <v>12859.088668910257</v>
      </c>
      <c r="Y206" s="12">
        <f t="shared" ca="1" si="89"/>
        <v>4654.4764894230775</v>
      </c>
      <c r="Z206" s="182">
        <f t="shared" ca="1" si="90"/>
        <v>1009167.2980769234</v>
      </c>
      <c r="AA206" s="271">
        <f t="shared" ca="1" si="107"/>
        <v>0.22</v>
      </c>
      <c r="AB206" s="12">
        <f t="shared" ca="1" si="91"/>
        <v>11873.32384123715</v>
      </c>
      <c r="AC206" s="12">
        <f t="shared" ca="1" si="92"/>
        <v>11873.323841237179</v>
      </c>
      <c r="AD206" s="199"/>
      <c r="AE206" s="273">
        <f t="shared" ca="1" si="93"/>
        <v>1.6821425527395739E-3</v>
      </c>
      <c r="AF206" s="184">
        <f t="shared" ca="1" si="94"/>
        <v>0.7286883940861304</v>
      </c>
      <c r="AG206" s="12">
        <f t="shared" ca="1" si="95"/>
        <v>8651.953282335664</v>
      </c>
      <c r="AH206" s="12">
        <f t="shared" ca="1" si="96"/>
        <v>8651.9532823356858</v>
      </c>
      <c r="AI206" s="185">
        <f t="shared" ca="1" si="97"/>
        <v>49</v>
      </c>
      <c r="AJ206" s="177">
        <f t="shared" ca="1" si="98"/>
        <v>49</v>
      </c>
      <c r="AK206" s="12">
        <f t="shared" ca="1" si="99"/>
        <v>-12908.08866891023</v>
      </c>
      <c r="AL206" s="185">
        <f t="shared" ca="1" si="108"/>
        <v>12859.08866891023</v>
      </c>
      <c r="AM206" s="177">
        <f t="shared" ca="1" si="109"/>
        <v>12896.624769631384</v>
      </c>
      <c r="AN206" s="177">
        <f t="shared" ca="1" si="110"/>
        <v>10768.979429531508</v>
      </c>
      <c r="AO206" s="196">
        <f t="shared" ca="1" si="111"/>
        <v>124</v>
      </c>
      <c r="AP206" s="196">
        <f t="shared" ca="1" si="112"/>
        <v>99</v>
      </c>
      <c r="AQ206" s="177">
        <f t="shared" ca="1" si="113"/>
        <v>0</v>
      </c>
      <c r="AR206" s="177">
        <f t="shared" ca="1" si="114"/>
        <v>37.536100721154071</v>
      </c>
      <c r="AS206" s="189"/>
      <c r="AT206" s="190"/>
      <c r="AU206" s="190"/>
    </row>
    <row r="207" spans="1:47" x14ac:dyDescent="0.6">
      <c r="A207" s="152" t="str">
        <f t="shared" ca="1" si="80"/>
        <v>Oktober 2040</v>
      </c>
      <c r="B207" s="191">
        <v>0</v>
      </c>
      <c r="C207" s="270">
        <f t="shared" ca="1" si="100"/>
        <v>5.4899999999999997E-2</v>
      </c>
      <c r="D207" s="192" t="str">
        <f t="shared" ca="1" si="101"/>
        <v/>
      </c>
      <c r="E207" s="193" t="str">
        <f t="shared" ca="1" si="102"/>
        <v/>
      </c>
      <c r="F207" s="194">
        <f t="shared" ca="1" si="103"/>
        <v>49</v>
      </c>
      <c r="G207" s="14">
        <v>190</v>
      </c>
      <c r="H207" s="157">
        <f t="shared" ca="1" si="104"/>
        <v>123</v>
      </c>
      <c r="I207" s="16">
        <f t="shared" ca="1" si="105"/>
        <v>12821.552568189076</v>
      </c>
      <c r="J207" s="16">
        <f t="shared" ca="1" si="81"/>
        <v>4616.940388701928</v>
      </c>
      <c r="K207" s="158">
        <f t="shared" ca="1" si="82"/>
        <v>8204.6121794871469</v>
      </c>
      <c r="L207" s="158">
        <f t="shared" ca="1" si="83"/>
        <v>1000962.6858974372</v>
      </c>
      <c r="M207" s="15">
        <f t="shared" ca="1" si="84"/>
        <v>0</v>
      </c>
      <c r="N207" s="16">
        <f ca="1">IF(Y207=0, 0, ROUND(SUM(Y$17:Y207)-SUM(J$17:J207),0))</f>
        <v>0</v>
      </c>
      <c r="O207" s="16" t="str">
        <f t="shared" ca="1" si="85"/>
        <v/>
      </c>
      <c r="P207" s="16" t="str">
        <f t="shared" ca="1" si="86"/>
        <v/>
      </c>
      <c r="Q207" s="160">
        <f t="shared" ca="1" si="117"/>
        <v>5000000</v>
      </c>
      <c r="R207" s="160">
        <f t="shared" ca="1" si="117"/>
        <v>0</v>
      </c>
      <c r="S207" s="160">
        <f t="shared" ca="1" si="117"/>
        <v>358488</v>
      </c>
      <c r="T207" s="160">
        <f t="shared" ca="1" si="117"/>
        <v>628000</v>
      </c>
      <c r="U207" s="161" t="str">
        <f t="shared" ca="1" si="87"/>
        <v/>
      </c>
      <c r="V207" s="162">
        <f t="shared" ca="1" si="79"/>
        <v>2.17</v>
      </c>
      <c r="W207" s="195">
        <f t="shared" ca="1" si="106"/>
        <v>123</v>
      </c>
      <c r="X207" s="158">
        <f t="shared" ca="1" si="88"/>
        <v>12821.552568189105</v>
      </c>
      <c r="Y207" s="16">
        <f t="shared" ca="1" si="89"/>
        <v>4616.9403887019243</v>
      </c>
      <c r="Z207" s="164">
        <f t="shared" ca="1" si="90"/>
        <v>1000962.6858974362</v>
      </c>
      <c r="AA207" s="272">
        <f t="shared" ca="1" si="107"/>
        <v>0.22</v>
      </c>
      <c r="AB207" s="16">
        <f t="shared" ca="1" si="91"/>
        <v>11844.04568267465</v>
      </c>
      <c r="AC207" s="16">
        <f t="shared" ca="1" si="92"/>
        <v>11844.045682674681</v>
      </c>
      <c r="AD207" s="197"/>
      <c r="AE207" s="274">
        <f t="shared" ca="1" si="93"/>
        <v>1.6821425527395739E-3</v>
      </c>
      <c r="AF207" s="166">
        <f t="shared" ca="1" si="94"/>
        <v>0.7274626363307507</v>
      </c>
      <c r="AG207" s="16">
        <f t="shared" ca="1" si="95"/>
        <v>8616.1006971403476</v>
      </c>
      <c r="AH207" s="16">
        <f t="shared" ca="1" si="96"/>
        <v>8616.1006971403694</v>
      </c>
      <c r="AI207" s="168">
        <f t="shared" ca="1" si="97"/>
        <v>49</v>
      </c>
      <c r="AJ207" s="158">
        <f t="shared" ca="1" si="98"/>
        <v>49</v>
      </c>
      <c r="AK207" s="16">
        <f t="shared" ca="1" si="99"/>
        <v>-12870.552568189076</v>
      </c>
      <c r="AL207" s="168">
        <f t="shared" ca="1" si="108"/>
        <v>12821.552568189076</v>
      </c>
      <c r="AM207" s="158">
        <f t="shared" ca="1" si="109"/>
        <v>12859.08866891023</v>
      </c>
      <c r="AN207" s="158">
        <f t="shared" ca="1" si="110"/>
        <v>10746.721651005982</v>
      </c>
      <c r="AO207" s="169">
        <f t="shared" ca="1" si="111"/>
        <v>123</v>
      </c>
      <c r="AP207" s="169">
        <f t="shared" ca="1" si="112"/>
        <v>98</v>
      </c>
      <c r="AQ207" s="158">
        <f t="shared" ca="1" si="113"/>
        <v>0</v>
      </c>
      <c r="AR207" s="158">
        <f t="shared" ca="1" si="114"/>
        <v>37.536100721154071</v>
      </c>
      <c r="AS207" s="170"/>
      <c r="AT207" s="159"/>
      <c r="AU207" s="159"/>
    </row>
    <row r="208" spans="1:47" x14ac:dyDescent="0.6">
      <c r="A208" s="171" t="str">
        <f t="shared" ca="1" si="80"/>
        <v>November 2040</v>
      </c>
      <c r="B208" s="191">
        <v>0</v>
      </c>
      <c r="C208" s="269">
        <f t="shared" ca="1" si="100"/>
        <v>5.4899999999999997E-2</v>
      </c>
      <c r="D208" s="173" t="str">
        <f t="shared" ca="1" si="101"/>
        <v/>
      </c>
      <c r="E208" s="174" t="str">
        <f t="shared" ca="1" si="102"/>
        <v/>
      </c>
      <c r="F208" s="175">
        <f t="shared" ca="1" si="103"/>
        <v>49</v>
      </c>
      <c r="G208" s="10">
        <v>191</v>
      </c>
      <c r="H208" s="176">
        <f t="shared" ca="1" si="104"/>
        <v>122</v>
      </c>
      <c r="I208" s="12">
        <f t="shared" ca="1" si="105"/>
        <v>12784.016467467922</v>
      </c>
      <c r="J208" s="12">
        <f t="shared" ca="1" si="81"/>
        <v>4579.4042879807748</v>
      </c>
      <c r="K208" s="177">
        <f t="shared" ca="1" si="82"/>
        <v>8204.6121794871469</v>
      </c>
      <c r="L208" s="177">
        <f t="shared" ca="1" si="83"/>
        <v>992758.07371795003</v>
      </c>
      <c r="M208" s="11">
        <f t="shared" ca="1" si="84"/>
        <v>0</v>
      </c>
      <c r="N208" s="12">
        <f ca="1">IF(Y208=0, 0, ROUND(SUM(Y$17:Y208)-SUM(J$17:J208),0))</f>
        <v>0</v>
      </c>
      <c r="O208" s="12" t="str">
        <f t="shared" ca="1" si="85"/>
        <v/>
      </c>
      <c r="P208" s="12">
        <f t="shared" ca="1" si="86"/>
        <v>4000000</v>
      </c>
      <c r="Q208" s="178">
        <f t="shared" ca="1" si="117"/>
        <v>5000000</v>
      </c>
      <c r="R208" s="178">
        <f t="shared" ca="1" si="117"/>
        <v>0</v>
      </c>
      <c r="S208" s="178">
        <f t="shared" ca="1" si="117"/>
        <v>358488</v>
      </c>
      <c r="T208" s="178">
        <f t="shared" ca="1" si="117"/>
        <v>628000</v>
      </c>
      <c r="U208" s="179" t="str">
        <f t="shared" ca="1" si="87"/>
        <v/>
      </c>
      <c r="V208" s="180">
        <f t="shared" ca="1" si="79"/>
        <v>2.1599999999999997</v>
      </c>
      <c r="W208" s="181">
        <f t="shared" ca="1" si="106"/>
        <v>122</v>
      </c>
      <c r="X208" s="177">
        <f t="shared" ca="1" si="88"/>
        <v>12784.016467467951</v>
      </c>
      <c r="Y208" s="12">
        <f t="shared" ca="1" si="89"/>
        <v>4579.4042879807703</v>
      </c>
      <c r="Z208" s="182">
        <f t="shared" ca="1" si="90"/>
        <v>992758.07371794898</v>
      </c>
      <c r="AA208" s="271">
        <f t="shared" ca="1" si="107"/>
        <v>0.22</v>
      </c>
      <c r="AB208" s="12">
        <f t="shared" ca="1" si="91"/>
        <v>11814.767524112151</v>
      </c>
      <c r="AC208" s="12">
        <f t="shared" ca="1" si="92"/>
        <v>11814.76752411218</v>
      </c>
      <c r="AD208" s="199"/>
      <c r="AE208" s="273">
        <f t="shared" ca="1" si="93"/>
        <v>1.6821425527395739E-3</v>
      </c>
      <c r="AF208" s="184">
        <f t="shared" ca="1" si="94"/>
        <v>0.72623894047465065</v>
      </c>
      <c r="AG208" s="12">
        <f t="shared" ca="1" si="95"/>
        <v>8580.3442486655204</v>
      </c>
      <c r="AH208" s="12">
        <f t="shared" ca="1" si="96"/>
        <v>8580.3442486655404</v>
      </c>
      <c r="AI208" s="185">
        <f t="shared" ca="1" si="97"/>
        <v>49</v>
      </c>
      <c r="AJ208" s="177">
        <f t="shared" ca="1" si="98"/>
        <v>49</v>
      </c>
      <c r="AK208" s="12">
        <f t="shared" ca="1" si="99"/>
        <v>-12833.016467467922</v>
      </c>
      <c r="AL208" s="185">
        <f t="shared" ca="1" si="108"/>
        <v>12784.016467467922</v>
      </c>
      <c r="AM208" s="177">
        <f t="shared" ca="1" si="109"/>
        <v>12821.552568189076</v>
      </c>
      <c r="AN208" s="177">
        <f t="shared" ca="1" si="110"/>
        <v>10724.491544986935</v>
      </c>
      <c r="AO208" s="196">
        <f t="shared" ca="1" si="111"/>
        <v>122</v>
      </c>
      <c r="AP208" s="196">
        <f t="shared" ca="1" si="112"/>
        <v>97</v>
      </c>
      <c r="AQ208" s="177">
        <f t="shared" ca="1" si="113"/>
        <v>0</v>
      </c>
      <c r="AR208" s="177">
        <f t="shared" ca="1" si="114"/>
        <v>37.536100721154071</v>
      </c>
      <c r="AS208" s="189"/>
      <c r="AT208" s="190"/>
      <c r="AU208" s="190"/>
    </row>
    <row r="209" spans="1:47" x14ac:dyDescent="0.6">
      <c r="A209" s="152" t="str">
        <f t="shared" ca="1" si="80"/>
        <v>Desember 2040</v>
      </c>
      <c r="B209" s="191">
        <v>0</v>
      </c>
      <c r="C209" s="270">
        <f t="shared" ca="1" si="100"/>
        <v>5.4899999999999997E-2</v>
      </c>
      <c r="D209" s="192" t="str">
        <f t="shared" ca="1" si="101"/>
        <v/>
      </c>
      <c r="E209" s="193" t="str">
        <f t="shared" ca="1" si="102"/>
        <v/>
      </c>
      <c r="F209" s="194">
        <f t="shared" ca="1" si="103"/>
        <v>49</v>
      </c>
      <c r="G209" s="14">
        <v>192</v>
      </c>
      <c r="H209" s="157">
        <f t="shared" ca="1" si="104"/>
        <v>121</v>
      </c>
      <c r="I209" s="16">
        <f t="shared" ca="1" si="105"/>
        <v>12746.480366746768</v>
      </c>
      <c r="J209" s="16">
        <f t="shared" ca="1" si="81"/>
        <v>4541.8681872596217</v>
      </c>
      <c r="K209" s="158">
        <f t="shared" ca="1" si="82"/>
        <v>8204.6121794871469</v>
      </c>
      <c r="L209" s="158">
        <f t="shared" ca="1" si="83"/>
        <v>984553.4615384629</v>
      </c>
      <c r="M209" s="15">
        <f t="shared" ca="1" si="84"/>
        <v>0</v>
      </c>
      <c r="N209" s="16">
        <f ca="1">IF(Y209=0, 0, ROUND(SUM(Y$17:Y209)-SUM(J$17:J209),0))</f>
        <v>0</v>
      </c>
      <c r="O209" s="16" t="str">
        <f t="shared" ca="1" si="85"/>
        <v/>
      </c>
      <c r="P209" s="16">
        <f t="shared" ca="1" si="86"/>
        <v>4010000</v>
      </c>
      <c r="Q209" s="160">
        <f t="shared" ca="1" si="117"/>
        <v>5000000</v>
      </c>
      <c r="R209" s="160">
        <f t="shared" ca="1" si="117"/>
        <v>0</v>
      </c>
      <c r="S209" s="160">
        <f t="shared" ca="1" si="117"/>
        <v>358488</v>
      </c>
      <c r="T209" s="160">
        <f t="shared" ca="1" si="117"/>
        <v>628000</v>
      </c>
      <c r="U209" s="161" t="str">
        <f t="shared" ca="1" si="87"/>
        <v/>
      </c>
      <c r="V209" s="162">
        <f t="shared" ref="V209:V272" ca="1" si="118">IF(SUM(INDIRECT(ADDRESS(ROW(), t2kInntekt))) = 0, "Inntekt mangler", ROUNDUP(($L209 + INDIRECT(ADDRESS(ROW(), t2kFGj)) + INDIRECT(ADDRESS(ROW(), t2kAnnenGjeld))) / INDIRECT(ADDRESS(ROW(), t2kInntekt)), 2))</f>
        <v>2.1399999999999997</v>
      </c>
      <c r="W209" s="195">
        <f t="shared" ca="1" si="106"/>
        <v>121</v>
      </c>
      <c r="X209" s="158">
        <f t="shared" ca="1" si="88"/>
        <v>12746.480366746797</v>
      </c>
      <c r="Y209" s="16">
        <f t="shared" ca="1" si="89"/>
        <v>4541.8681872596162</v>
      </c>
      <c r="Z209" s="164">
        <f t="shared" ca="1" si="90"/>
        <v>984553.46153846185</v>
      </c>
      <c r="AA209" s="272">
        <f t="shared" ca="1" si="107"/>
        <v>0.22</v>
      </c>
      <c r="AB209" s="16">
        <f t="shared" ca="1" si="91"/>
        <v>11785.489365549653</v>
      </c>
      <c r="AC209" s="16">
        <f t="shared" ca="1" si="92"/>
        <v>11785.48936554968</v>
      </c>
      <c r="AD209" s="197"/>
      <c r="AE209" s="274">
        <f t="shared" ca="1" si="93"/>
        <v>1.6821425527395739E-3</v>
      </c>
      <c r="AF209" s="166">
        <f t="shared" ca="1" si="94"/>
        <v>0.72501730304942169</v>
      </c>
      <c r="AG209" s="16">
        <f t="shared" ca="1" si="95"/>
        <v>8544.6837149284493</v>
      </c>
      <c r="AH209" s="16">
        <f t="shared" ca="1" si="96"/>
        <v>8544.6837149284693</v>
      </c>
      <c r="AI209" s="168">
        <f t="shared" ca="1" si="97"/>
        <v>49</v>
      </c>
      <c r="AJ209" s="158">
        <f t="shared" ca="1" si="98"/>
        <v>49</v>
      </c>
      <c r="AK209" s="16">
        <f t="shared" ca="1" si="99"/>
        <v>-12795.480366746768</v>
      </c>
      <c r="AL209" s="168">
        <f t="shared" ca="1" si="108"/>
        <v>12746.480366746768</v>
      </c>
      <c r="AM209" s="158">
        <f t="shared" ca="1" si="109"/>
        <v>12784.016467467922</v>
      </c>
      <c r="AN209" s="158">
        <f t="shared" ca="1" si="110"/>
        <v>10702.28912552027</v>
      </c>
      <c r="AO209" s="169">
        <f t="shared" ca="1" si="111"/>
        <v>121</v>
      </c>
      <c r="AP209" s="169">
        <f t="shared" ca="1" si="112"/>
        <v>97</v>
      </c>
      <c r="AQ209" s="158">
        <f t="shared" ca="1" si="113"/>
        <v>0</v>
      </c>
      <c r="AR209" s="158">
        <f t="shared" ca="1" si="114"/>
        <v>37.536100721154071</v>
      </c>
      <c r="AS209" s="170"/>
      <c r="AT209" s="159"/>
      <c r="AU209" s="159"/>
    </row>
    <row r="210" spans="1:47" x14ac:dyDescent="0.6">
      <c r="A210" s="171" t="str">
        <f t="shared" ref="A210:A273" ca="1" si="119">PROPER(CHOOSE((MONTH($E$5)-1+G210)-INT((MONTH($E$5)-2+G210)/12)*12,"Januar","Februar","Mars","April","Mai","Juni","Juli","August","September","Oktober","November","Desember")) &amp; " " &amp; TEXT(YEAR($E$5) + INT((MONTH($E$5)-2+G210)/12),0)</f>
        <v>Januar 2041</v>
      </c>
      <c r="B210" s="191">
        <v>0</v>
      </c>
      <c r="C210" s="269">
        <f t="shared" ca="1" si="100"/>
        <v>5.4899999999999997E-2</v>
      </c>
      <c r="D210" s="173" t="str">
        <f t="shared" ca="1" si="101"/>
        <v/>
      </c>
      <c r="E210" s="174" t="str">
        <f t="shared" ca="1" si="102"/>
        <v/>
      </c>
      <c r="F210" s="175">
        <f t="shared" ca="1" si="103"/>
        <v>49</v>
      </c>
      <c r="G210" s="10">
        <v>193</v>
      </c>
      <c r="H210" s="176">
        <f t="shared" ca="1" si="104"/>
        <v>120</v>
      </c>
      <c r="I210" s="12">
        <f t="shared" ca="1" si="105"/>
        <v>12708.944266025614</v>
      </c>
      <c r="J210" s="12">
        <f t="shared" ref="J210:J273" ca="1" si="120">IF(AND(H210&lt;=0,ROUND(L209,0)&lt;=0),0, L209*INDIRECT(ADDRESS(ROW(),t2kRP))/12)</f>
        <v>4504.3320865384676</v>
      </c>
      <c r="K210" s="177">
        <f t="shared" ref="K210:K273" ca="1" si="121">IF(INDIRECT(ADDRESS(ROW(),t2kUAvd))="x", 0, I210-J210)</f>
        <v>8204.6121794871469</v>
      </c>
      <c r="L210" s="177">
        <f t="shared" ref="L210:L273" ca="1" si="122">IF(ABS(L209-ROUND(INDIRECT(ADDRESS(ROW(),t2kTnb)),0)-K210)&lt;0.5, 0, L209-INDIRECT(ADDRESS(ROW(),t2kTnb))-K210)</f>
        <v>976348.84935897577</v>
      </c>
      <c r="M210" s="11">
        <f t="shared" ref="M210:M273" ca="1" si="123">Y210-J210</f>
        <v>0</v>
      </c>
      <c r="N210" s="12">
        <f ca="1">IF(Y210=0, 0, ROUND(SUM(Y$17:Y210)-SUM(J$17:J210),0))</f>
        <v>0</v>
      </c>
      <c r="O210" s="12" t="str">
        <f t="shared" ref="O210:O273" ca="1" si="124">IF(OR(ROUND(Z210,0)&lt;=0, AND(ROUND(H210,0)&lt;=0,ROUND(L209,0)&lt;=0)), "",IF(ROUNDDOWN(Z209-L209,-(LEN(TEXT(INT(ABS(Z209-L209)),0))-2))=ROUNDDOWN(Z210-L210,-(LEN(TEXT(INT(ABS(Z210-L210)),0))-2)),"", ROUNDDOWN(Z210-L210,-(LEN(TEXT(INT(ABS(Z210-L210)),0))-2))))</f>
        <v/>
      </c>
      <c r="P210" s="12">
        <f t="shared" ref="P210:P273" ca="1" si="125">IF(INDIRECT(ADDRESS(ROW(),t2kTakst))&lt;=L210, "",IF(ROUNDDOWN(INDIRECT(ADDRESS(ROW()-1,t2kTakst))-L209,-4)=ROUNDDOWN(INDIRECT(ADDRESS(ROW(),t2kTakst))-L210,-4),"", ROUNDDOWN(INDIRECT(ADDRESS(ROW(),t2kTakst))-L210,-4)))</f>
        <v>4020000</v>
      </c>
      <c r="Q210" s="178">
        <f t="shared" ca="1" si="117"/>
        <v>5000000</v>
      </c>
      <c r="R210" s="178">
        <f t="shared" ca="1" si="117"/>
        <v>0</v>
      </c>
      <c r="S210" s="178">
        <f t="shared" ca="1" si="117"/>
        <v>358488</v>
      </c>
      <c r="T210" s="178">
        <f t="shared" ca="1" si="117"/>
        <v>628000</v>
      </c>
      <c r="U210" s="179" t="str">
        <f t="shared" ref="U210:U273" ca="1" si="126">IF(AND(OR(AND(ISNUMBER(INDIRECT(ADDRESS(ROW()-1, t2kGjeldsgrad))), SUM(INDIRECT(ADDRESS(ROW()-1, t2kGjeldsgrad))) &gt; $P$10), NOT(ISNUMBER(INDIRECT(ADDRESS(ROW()-1, t2kGjeldsgrad))))), ISNUMBER($V210), ISNUMBER($P$10), SUM($V210) &lt;= SUM($P$10)), ROW(), "")</f>
        <v/>
      </c>
      <c r="V210" s="180">
        <f t="shared" ca="1" si="118"/>
        <v>2.13</v>
      </c>
      <c r="W210" s="181">
        <f t="shared" ca="1" si="106"/>
        <v>120</v>
      </c>
      <c r="X210" s="177">
        <f t="shared" ref="X210:X273" ca="1" si="127">IF(AND(W210&lt;=0,ROUND(Z209,0)&lt;=0),0,IF(LOWER(LEFT($E$2,1))="s", IF($E$3/ROUND($E$4*12,0)+Y210&gt;Z209+Y210, Z209+Y210, $E$3/ROUND($E$4*12,0)+Y210),IF(ABS(PMT(INDIRECT(ADDRESS(ROW(),t2kRP))/12,W210,Z209)) &gt;Z209+Y210, Z209+Y210, ABS(PMT(INDIRECT(ADDRESS(ROW(),t2kRP))/12,W210,Z209)))))</f>
        <v>12708.944266025643</v>
      </c>
      <c r="Y210" s="12">
        <f t="shared" ref="Y210:Y273" ca="1" si="128">IF(AND(W210&lt;=0,ROUND(Z209,0)&lt;=0),0, Z209*INDIRECT(ADDRESS(ROW(),t2kRP))/12)</f>
        <v>4504.332086538463</v>
      </c>
      <c r="Z210" s="182">
        <f t="shared" ref="Z210:Z273" ca="1" si="129">IF(ABS(Z209+Y210-X210)&lt;0.5,0,Z209+Y210-X210)</f>
        <v>976348.84935897461</v>
      </c>
      <c r="AA210" s="271">
        <f t="shared" ca="1" si="107"/>
        <v>0.22</v>
      </c>
      <c r="AB210" s="12">
        <f t="shared" ref="AB210:AB273" ca="1" si="130">INDIRECT(ADDRESS(ROW(),t2kTnb))+($AI210+$J210)*(1-IF(LOWER(LEFT($P$3,1))="j", INDIRECT(ADDRESS(ROW(), t2kFradragPst)), 0))+$K210</f>
        <v>11756.211206987151</v>
      </c>
      <c r="AC210" s="12">
        <f t="shared" ref="AC210:AC273" ca="1" si="131">($AJ210+$Y210)*(1-IF(LOWER(LEFT($P$3,1))="j", INDIRECT(ADDRESS(ROW(), t2kFradragPst)), 0))+($X210-$Y210)</f>
        <v>11756.21120698718</v>
      </c>
      <c r="AD210" s="199"/>
      <c r="AE210" s="273">
        <f t="shared" ref="AE210:AE273" ca="1" si="132">IF(OR(SUM(INDIRECT(ADDRESS(ROW()-1,t2kKPI)))=0,SUM(INDIRECT(ADDRESS(ROW(),t2kKPI)))=0), -((-$R$4+1)^(1/12)-1), (INDIRECT(ADDRESS(ROW(),t2kKPI))-INDIRECT(ADDRESS(ROW()-1,t2kKPI)))/INDIRECT(ADDRESS(ROW()-1,t2kKPI)))</f>
        <v>1.6821425527395739E-3</v>
      </c>
      <c r="AF210" s="184">
        <f t="shared" ref="AF210:AF273" ca="1" si="133">IF(G210-$P$4=0,1,IF(G210-$P$4&lt;0,AF211/(1-AE211),AF209*(1-AE210)))</f>
        <v>0.72379772059248981</v>
      </c>
      <c r="AG210" s="12">
        <f t="shared" ref="AG210:AG273" ca="1" si="134">$AF210*$AB210</f>
        <v>8509.1188744211831</v>
      </c>
      <c r="AH210" s="12">
        <f t="shared" ref="AH210:AH273" ca="1" si="135">$AF210*$AC210</f>
        <v>8509.118874421205</v>
      </c>
      <c r="AI210" s="185">
        <f t="shared" ref="AI210:AI273" ca="1" si="136">IF(AND(H210&lt;=0,ROUND(L209,0)&lt;=0), 0, INDIRECT(ADDRESS(ROW(),t2kTG)))</f>
        <v>49</v>
      </c>
      <c r="AJ210" s="177">
        <f t="shared" ref="AJ210:AJ273" ca="1" si="137">IF(AND(W210&lt;=0,ROUND(Z209,0)&lt;=0), 0, INDIRECT(ADDRESS(ROW(),t2kTG)))</f>
        <v>49</v>
      </c>
      <c r="AK210" s="12">
        <f t="shared" ref="AK210:AK273" ca="1" si="138">-(INDIRECT(ADDRESS(ROW(),t2kTnb))+AI210+J210+K210)</f>
        <v>-12757.944266025614</v>
      </c>
      <c r="AL210" s="185">
        <f t="shared" ca="1" si="108"/>
        <v>12708.944266025614</v>
      </c>
      <c r="AM210" s="177">
        <f t="shared" ca="1" si="109"/>
        <v>12746.480366746768</v>
      </c>
      <c r="AN210" s="177">
        <f t="shared" ca="1" si="110"/>
        <v>10680.114406545596</v>
      </c>
      <c r="AO210" s="196">
        <f t="shared" ca="1" si="111"/>
        <v>120</v>
      </c>
      <c r="AP210" s="196">
        <f t="shared" ca="1" si="112"/>
        <v>96</v>
      </c>
      <c r="AQ210" s="177">
        <f t="shared" ca="1" si="113"/>
        <v>0</v>
      </c>
      <c r="AR210" s="177">
        <f t="shared" ca="1" si="114"/>
        <v>37.536100721154071</v>
      </c>
      <c r="AS210" s="189"/>
      <c r="AT210" s="190"/>
      <c r="AU210" s="190"/>
    </row>
    <row r="211" spans="1:47" x14ac:dyDescent="0.6">
      <c r="A211" s="152" t="str">
        <f t="shared" ca="1" si="119"/>
        <v>Februar 2041</v>
      </c>
      <c r="B211" s="191">
        <v>0</v>
      </c>
      <c r="C211" s="270">
        <f t="shared" ref="C211:C274" ca="1" si="139">IF(AND(LOWER(LEFT($E$10,1))="j", INDIRECT(ADDRESS(ROW(),t2kTNr))=t2vStdRTNr), t2xStdRPst, OFFSET(C211,-1,0,1,1))</f>
        <v>5.4899999999999997E-2</v>
      </c>
      <c r="D211" s="192" t="str">
        <f t="shared" ref="D211:D274" ca="1" si="140">IF(AND(LOWER(LEFT($E$8, 1))&lt;&gt;"n", INDIRECT(ADDRESS(ROW()-1,t2kUAvd))="x"),-1/12,"")</f>
        <v/>
      </c>
      <c r="E211" s="193" t="str">
        <f t="shared" ref="E211:E274" ca="1" si="141">IF(AND(LOWER(OFFSET(E211,-1,0,1,1))="x", INDIRECT(ADDRESS(ROW(),t2kTI1))&gt;1),OFFSET(E211,-1,0,1,1),"")</f>
        <v/>
      </c>
      <c r="F211" s="194">
        <f t="shared" ref="F211:F274" ca="1" si="142">OFFSET(F211,-1,0,1,1)</f>
        <v>49</v>
      </c>
      <c r="G211" s="14">
        <v>194</v>
      </c>
      <c r="H211" s="157">
        <f t="shared" ref="H211:H274" ca="1" si="143">IF(OR(ROUND(H210,0) + ROUND(SUM(INDIRECT(ADDRESS(ROW(),t2kNTid)))*12,0) &lt;= 0,ROUND(L210,0)&lt;=0),0, IF(LOWER(LEFT($E$2,1))="s", AO211, AP211))</f>
        <v>119</v>
      </c>
      <c r="I211" s="16">
        <f t="shared" ref="I211:I274" ca="1" si="144">IF(AND(H211&lt;=0,ROUND(L210,0)&lt;=0),0,IF(I210&gt;=L210+J211,L210+J211,IF(LOWER(LEFT($E$2,1))="s", AL211, AM211)))</f>
        <v>12671.40816530446</v>
      </c>
      <c r="J211" s="16">
        <f t="shared" ca="1" si="120"/>
        <v>4466.7959858173135</v>
      </c>
      <c r="K211" s="158">
        <f t="shared" ca="1" si="121"/>
        <v>8204.6121794871469</v>
      </c>
      <c r="L211" s="158">
        <f t="shared" ca="1" si="122"/>
        <v>968144.23717948864</v>
      </c>
      <c r="M211" s="15">
        <f t="shared" ca="1" si="123"/>
        <v>0</v>
      </c>
      <c r="N211" s="16">
        <f ca="1">IF(Y211=0, 0, ROUND(SUM(Y$17:Y211)-SUM(J$17:J211),0))</f>
        <v>0</v>
      </c>
      <c r="O211" s="16" t="str">
        <f t="shared" ca="1" si="124"/>
        <v/>
      </c>
      <c r="P211" s="16">
        <f t="shared" ca="1" si="125"/>
        <v>4030000</v>
      </c>
      <c r="Q211" s="160">
        <f t="shared" ca="1" si="117"/>
        <v>5000000</v>
      </c>
      <c r="R211" s="160">
        <f t="shared" ca="1" si="117"/>
        <v>0</v>
      </c>
      <c r="S211" s="160">
        <f t="shared" ca="1" si="117"/>
        <v>358488</v>
      </c>
      <c r="T211" s="160">
        <f t="shared" ca="1" si="117"/>
        <v>628000</v>
      </c>
      <c r="U211" s="161" t="str">
        <f t="shared" ca="1" si="126"/>
        <v/>
      </c>
      <c r="V211" s="162">
        <f t="shared" ca="1" si="118"/>
        <v>2.1199999999999997</v>
      </c>
      <c r="W211" s="195">
        <f t="shared" ref="W211:W274" ca="1" si="145">IF(OR(ROUNDUP(W210,0) &lt;= 0, ROUND(Z210,0) &lt;= 0),0,ROUNDUP(W210,0)-1)</f>
        <v>119</v>
      </c>
      <c r="X211" s="158">
        <f t="shared" ca="1" si="127"/>
        <v>12671.408165304489</v>
      </c>
      <c r="Y211" s="16">
        <f t="shared" ca="1" si="128"/>
        <v>4466.7959858173081</v>
      </c>
      <c r="Z211" s="164">
        <f t="shared" ca="1" si="129"/>
        <v>968144.23717948748</v>
      </c>
      <c r="AA211" s="272">
        <f t="shared" ref="AA211:AA274" ca="1" si="146">OFFSET(AA211,-1,0,1,1)</f>
        <v>0.22</v>
      </c>
      <c r="AB211" s="16">
        <f t="shared" ca="1" si="130"/>
        <v>11726.933048424651</v>
      </c>
      <c r="AC211" s="16">
        <f t="shared" ca="1" si="131"/>
        <v>11726.93304842468</v>
      </c>
      <c r="AD211" s="197"/>
      <c r="AE211" s="274">
        <f t="shared" ca="1" si="132"/>
        <v>1.6821425527395739E-3</v>
      </c>
      <c r="AF211" s="166">
        <f t="shared" ca="1" si="133"/>
        <v>0.72258018964710524</v>
      </c>
      <c r="AG211" s="16">
        <f t="shared" ca="1" si="134"/>
        <v>8473.6495061095902</v>
      </c>
      <c r="AH211" s="16">
        <f t="shared" ca="1" si="135"/>
        <v>8473.649506109612</v>
      </c>
      <c r="AI211" s="168">
        <f t="shared" ca="1" si="136"/>
        <v>49</v>
      </c>
      <c r="AJ211" s="158">
        <f t="shared" ca="1" si="137"/>
        <v>49</v>
      </c>
      <c r="AK211" s="16">
        <f t="shared" ca="1" si="138"/>
        <v>-12720.40816530446</v>
      </c>
      <c r="AL211" s="168">
        <f t="shared" ref="AL211:AL274" ca="1" si="147">IF(OR(SUM(INDIRECT(ADDRESS(ROW(), t2kNTid))) &lt;&gt; 0, AND(LOWER(LEFT($E$6, 1)) &lt;&gt; "j", INDIRECT(ADDRESS(ROW()-1, t2kTnb)) &lt;&gt; 0)), L210 / H211 + J211, (I210 - J210) + J211)</f>
        <v>12671.40816530446</v>
      </c>
      <c r="AM211" s="158">
        <f t="shared" ref="AM211:AM274" ca="1" si="148">IF(AND(INDIRECT(ADDRESS(ROW(), t2kRP)) = INDIRECT(ADDRESS(ROW()-1, t2kRP)), SUM(INDIRECT(ADDRESS(ROW(), t2kNTid))) = 0, OR(LOWER(LEFT($E$6, 1)) = "j", INDIRECT(ADDRESS(ROW()-1, t2kTnb)) = 0)), I210, ABS(AN211))</f>
        <v>12708.944266025614</v>
      </c>
      <c r="AN211" s="158">
        <f t="shared" ref="AN211:AN274" ca="1" si="149">-PMT(INDIRECT(ADDRESS(ROW(), t2kRP)) / 12, IF(SUM(INDIRECT(ADDRESS(ROW(), t2kNTid))) &lt;&gt; 0, H211, H210 - 1), IF(OR(SUM(INDIRECT(ADDRESS(ROW(), t2kNTid))) &lt;&gt; 0, AND(LOWER(LEFT($E$6, 1)) &lt;&gt; "j", INDIRECT(ADDRESS(ROW()-1, t2kTnb)) &lt;&gt; 0)), L210, L210 + INDIRECT(ADDRESS(ROW()-1, t2kTnb))))</f>
        <v>10657.967401896052</v>
      </c>
      <c r="AO211" s="169">
        <f t="shared" ref="AO211:AO274" ca="1" si="150">IF(LOWER(LEFT($E$6, 1)) = "j", ROUNDUP(ROUND(L210 / (I210 - J210), 6),0), IF(LOWER(LEFT(INDIRECT(ADDRESS(ROW()-1, t2kUAvd)), 1)) = "x", H210, H210 - 1)) + ROUND(SUM(INDIRECT(ADDRESS(ROW(), t2kNTid))) * 12, 0)</f>
        <v>119</v>
      </c>
      <c r="AP211" s="169">
        <f t="shared" ref="AP211:AP274" ca="1" si="151">IF(LOWER(LEFT($E$6, 1)) = "j", ROUNDUP(ROUND(NPER(INDIRECT(ADDRESS(ROW()-1, t2kRP)) / 12, -ABS(I210), L210), 6),0), IF(LOWER(LEFT(INDIRECT(ADDRESS(ROW()-1, t2kUAvd)), 1)) = "x", H210, H210 - 1)) + ROUND(SUM(INDIRECT(ADDRESS(ROW(), t2kNTid))) * 12, 0)</f>
        <v>95</v>
      </c>
      <c r="AQ211" s="158">
        <f t="shared" ref="AQ211:AQ274" ca="1" si="152">IF(ROUND(INDIRECT(ADDRESS(ROW()-1,t2kS1)),0) &lt;= 0,0,IF(INDIRECT(ADDRESS(ROW()-1,t2kS1)) &lt;= INDIRECT(ADDRESS(ROW()-1,t2kTnb)) + INDIRECT(ADDRESS(ROW(),t2kAvd1)),INDIRECT(ADDRESS(ROW()-1,t2kS1)) - INDIRECT(ADDRESS(ROW(),t2kAvd1)),INDIRECT(ADDRESS(ROW()-1,t2kTnb))))</f>
        <v>0</v>
      </c>
      <c r="AR211" s="158">
        <f t="shared" ref="AR211:AR274" ca="1" si="153">IF(OR((INDIRECT(ADDRESS(ROW()-1,t2kTnb))+INDIRECT(ADDRESS(ROW()-1,t2kTG))+INDIRECT(ADDRESS(ROW()-1,t2kR1))+INDIRECT(ADDRESS(ROW()-1,t2kAvd1))) &lt;= (INDIRECT(ADDRESS(ROW(),t2kTG))+INDIRECT(ADDRESS(ROW(),t2kR1))+INDIRECT(ADDRESS(ROW(),t2kAvd1))),ROUND(INDIRECT(ADDRESS(ROW()-1,t2kS1)),0) &lt;= 0),0,IF(AND(INDIRECT(ADDRESS(ROW()-1,t2kS1)) - INDIRECT(ADDRESS(ROW(),t2kAvd1)) &gt; -0.5,(INDIRECT(ADDRESS(ROW()-1,t2kTnb))+INDIRECT(ADDRESS(ROW()-1,t2kTG))+INDIRECT(ADDRESS(ROW()-1,t2kR1))+INDIRECT(ADDRESS(ROW()-1,t2kAvd1))) &gt;= (INDIRECT(ADDRESS(ROW()-1,t2kS1))+INDIRECT(ADDRESS(ROW(),t2kR1))+INDIRECT(ADDRESS(ROW(),t2kTG)))),INDIRECT(ADDRESS(ROW()-1,t2kS1)) - INDIRECT(ADDRESS(ROW(),t2kAvd1)),(INDIRECT(ADDRESS(ROW()-1,t2kTnb))+INDIRECT(ADDRESS(ROW()-1,t2kTG))+INDIRECT(ADDRESS(ROW()-1,t2kR1))+INDIRECT(ADDRESS(ROW()-1,t2kAvd1))) - (INDIRECT(ADDRESS(ROW(),t2kTG))+INDIRECT(ADDRESS(ROW(),t2kR1))+INDIRECT(ADDRESS(ROW(),t2kAvd1)))))</f>
        <v>37.536100721154071</v>
      </c>
      <c r="AS211" s="170"/>
      <c r="AT211" s="159"/>
      <c r="AU211" s="159"/>
    </row>
    <row r="212" spans="1:47" x14ac:dyDescent="0.6">
      <c r="A212" s="171" t="str">
        <f t="shared" ca="1" si="119"/>
        <v>Mars 2041</v>
      </c>
      <c r="B212" s="191">
        <v>0</v>
      </c>
      <c r="C212" s="269">
        <f t="shared" ca="1" si="139"/>
        <v>5.4899999999999997E-2</v>
      </c>
      <c r="D212" s="173" t="str">
        <f t="shared" ca="1" si="140"/>
        <v/>
      </c>
      <c r="E212" s="174" t="str">
        <f t="shared" ca="1" si="141"/>
        <v/>
      </c>
      <c r="F212" s="175">
        <f t="shared" ca="1" si="142"/>
        <v>49</v>
      </c>
      <c r="G212" s="10">
        <v>195</v>
      </c>
      <c r="H212" s="176">
        <f t="shared" ca="1" si="143"/>
        <v>118</v>
      </c>
      <c r="I212" s="12">
        <f t="shared" ca="1" si="144"/>
        <v>12633.872064583307</v>
      </c>
      <c r="J212" s="12">
        <f t="shared" ca="1" si="120"/>
        <v>4429.2598850961604</v>
      </c>
      <c r="K212" s="177">
        <f t="shared" ca="1" si="121"/>
        <v>8204.6121794871469</v>
      </c>
      <c r="L212" s="177">
        <f t="shared" ca="1" si="122"/>
        <v>959939.62500000151</v>
      </c>
      <c r="M212" s="11">
        <f t="shared" ca="1" si="123"/>
        <v>0</v>
      </c>
      <c r="N212" s="12">
        <f ca="1">IF(Y212=0, 0, ROUND(SUM(Y$17:Y212)-SUM(J$17:J212),0))</f>
        <v>0</v>
      </c>
      <c r="O212" s="12" t="str">
        <f t="shared" ca="1" si="124"/>
        <v/>
      </c>
      <c r="P212" s="12">
        <f t="shared" ca="1" si="125"/>
        <v>4040000</v>
      </c>
      <c r="Q212" s="178">
        <f t="shared" ca="1" si="117"/>
        <v>5000000</v>
      </c>
      <c r="R212" s="178">
        <f t="shared" ca="1" si="117"/>
        <v>0</v>
      </c>
      <c r="S212" s="178">
        <f t="shared" ca="1" si="117"/>
        <v>358488</v>
      </c>
      <c r="T212" s="178">
        <f t="shared" ca="1" si="117"/>
        <v>628000</v>
      </c>
      <c r="U212" s="179" t="str">
        <f t="shared" ca="1" si="126"/>
        <v/>
      </c>
      <c r="V212" s="180">
        <f t="shared" ca="1" si="118"/>
        <v>2.0999999999999996</v>
      </c>
      <c r="W212" s="181">
        <f t="shared" ca="1" si="145"/>
        <v>118</v>
      </c>
      <c r="X212" s="177">
        <f t="shared" ca="1" si="127"/>
        <v>12633.872064583335</v>
      </c>
      <c r="Y212" s="12">
        <f t="shared" ca="1" si="128"/>
        <v>4429.2598850961549</v>
      </c>
      <c r="Z212" s="182">
        <f t="shared" ca="1" si="129"/>
        <v>959939.62500000023</v>
      </c>
      <c r="AA212" s="271">
        <f t="shared" ca="1" si="146"/>
        <v>0.22</v>
      </c>
      <c r="AB212" s="12">
        <f t="shared" ca="1" si="130"/>
        <v>11697.654889862151</v>
      </c>
      <c r="AC212" s="12">
        <f t="shared" ca="1" si="131"/>
        <v>11697.65488986218</v>
      </c>
      <c r="AD212" s="199"/>
      <c r="AE212" s="273">
        <f t="shared" ca="1" si="132"/>
        <v>1.6821425527395739E-3</v>
      </c>
      <c r="AF212" s="184">
        <f t="shared" ca="1" si="133"/>
        <v>0.72136470676233322</v>
      </c>
      <c r="AG212" s="12">
        <f t="shared" ca="1" si="134"/>
        <v>8438.2753894323832</v>
      </c>
      <c r="AH212" s="12">
        <f t="shared" ca="1" si="135"/>
        <v>8438.2753894324051</v>
      </c>
      <c r="AI212" s="185">
        <f t="shared" ca="1" si="136"/>
        <v>49</v>
      </c>
      <c r="AJ212" s="177">
        <f t="shared" ca="1" si="137"/>
        <v>49</v>
      </c>
      <c r="AK212" s="12">
        <f t="shared" ca="1" si="138"/>
        <v>-12682.872064583307</v>
      </c>
      <c r="AL212" s="185">
        <f t="shared" ca="1" si="147"/>
        <v>12633.872064583307</v>
      </c>
      <c r="AM212" s="177">
        <f t="shared" ca="1" si="148"/>
        <v>12671.40816530446</v>
      </c>
      <c r="AN212" s="177">
        <f t="shared" ca="1" si="149"/>
        <v>10635.848125298091</v>
      </c>
      <c r="AO212" s="196">
        <f t="shared" ca="1" si="150"/>
        <v>118</v>
      </c>
      <c r="AP212" s="196">
        <f t="shared" ca="1" si="151"/>
        <v>95</v>
      </c>
      <c r="AQ212" s="177">
        <f t="shared" ca="1" si="152"/>
        <v>0</v>
      </c>
      <c r="AR212" s="177">
        <f t="shared" ca="1" si="153"/>
        <v>37.536100721152252</v>
      </c>
      <c r="AS212" s="189"/>
      <c r="AT212" s="190"/>
      <c r="AU212" s="190"/>
    </row>
    <row r="213" spans="1:47" x14ac:dyDescent="0.6">
      <c r="A213" s="152" t="str">
        <f t="shared" ca="1" si="119"/>
        <v>April 2041</v>
      </c>
      <c r="B213" s="191">
        <v>0</v>
      </c>
      <c r="C213" s="270">
        <f t="shared" ca="1" si="139"/>
        <v>5.4899999999999997E-2</v>
      </c>
      <c r="D213" s="192" t="str">
        <f t="shared" ca="1" si="140"/>
        <v/>
      </c>
      <c r="E213" s="193" t="str">
        <f t="shared" ca="1" si="141"/>
        <v/>
      </c>
      <c r="F213" s="194">
        <f t="shared" ca="1" si="142"/>
        <v>49</v>
      </c>
      <c r="G213" s="14">
        <v>196</v>
      </c>
      <c r="H213" s="157">
        <f t="shared" ca="1" si="143"/>
        <v>117</v>
      </c>
      <c r="I213" s="16">
        <f t="shared" ca="1" si="144"/>
        <v>12596.335963862155</v>
      </c>
      <c r="J213" s="16">
        <f t="shared" ca="1" si="120"/>
        <v>4391.7237843750072</v>
      </c>
      <c r="K213" s="158">
        <f t="shared" ca="1" si="121"/>
        <v>8204.6121794871469</v>
      </c>
      <c r="L213" s="158">
        <f t="shared" ca="1" si="122"/>
        <v>951735.01282051438</v>
      </c>
      <c r="M213" s="15">
        <f t="shared" ca="1" si="123"/>
        <v>0</v>
      </c>
      <c r="N213" s="16">
        <f ca="1">IF(Y213=0, 0, ROUND(SUM(Y$17:Y213)-SUM(J$17:J213),0))</f>
        <v>0</v>
      </c>
      <c r="O213" s="16" t="str">
        <f t="shared" ca="1" si="124"/>
        <v/>
      </c>
      <c r="P213" s="16" t="str">
        <f t="shared" ca="1" si="125"/>
        <v/>
      </c>
      <c r="Q213" s="160">
        <f t="shared" ca="1" si="117"/>
        <v>5000000</v>
      </c>
      <c r="R213" s="160">
        <f t="shared" ca="1" si="117"/>
        <v>0</v>
      </c>
      <c r="S213" s="160">
        <f t="shared" ca="1" si="117"/>
        <v>358488</v>
      </c>
      <c r="T213" s="160">
        <f t="shared" ca="1" si="117"/>
        <v>628000</v>
      </c>
      <c r="U213" s="161" t="str">
        <f t="shared" ca="1" si="126"/>
        <v/>
      </c>
      <c r="V213" s="162">
        <f t="shared" ca="1" si="118"/>
        <v>2.09</v>
      </c>
      <c r="W213" s="195">
        <f t="shared" ca="1" si="145"/>
        <v>117</v>
      </c>
      <c r="X213" s="158">
        <f t="shared" ca="1" si="127"/>
        <v>12596.335963862181</v>
      </c>
      <c r="Y213" s="16">
        <f t="shared" ca="1" si="128"/>
        <v>4391.7237843750008</v>
      </c>
      <c r="Z213" s="164">
        <f t="shared" ca="1" si="129"/>
        <v>951735.0128205131</v>
      </c>
      <c r="AA213" s="272">
        <f t="shared" ca="1" si="146"/>
        <v>0.22</v>
      </c>
      <c r="AB213" s="16">
        <f t="shared" ca="1" si="130"/>
        <v>11668.376731299653</v>
      </c>
      <c r="AC213" s="16">
        <f t="shared" ca="1" si="131"/>
        <v>11668.376731299681</v>
      </c>
      <c r="AD213" s="197"/>
      <c r="AE213" s="274">
        <f t="shared" ca="1" si="132"/>
        <v>1.6821425527395739E-3</v>
      </c>
      <c r="AF213" s="166">
        <f t="shared" ca="1" si="133"/>
        <v>0.72015126849304378</v>
      </c>
      <c r="AG213" s="16">
        <f t="shared" ca="1" si="134"/>
        <v>8402.9963043001608</v>
      </c>
      <c r="AH213" s="16">
        <f t="shared" ca="1" si="135"/>
        <v>8402.9963043001808</v>
      </c>
      <c r="AI213" s="168">
        <f t="shared" ca="1" si="136"/>
        <v>49</v>
      </c>
      <c r="AJ213" s="158">
        <f t="shared" ca="1" si="137"/>
        <v>49</v>
      </c>
      <c r="AK213" s="16">
        <f t="shared" ca="1" si="138"/>
        <v>-12645.335963862155</v>
      </c>
      <c r="AL213" s="168">
        <f t="shared" ca="1" si="147"/>
        <v>12596.335963862155</v>
      </c>
      <c r="AM213" s="158">
        <f t="shared" ca="1" si="148"/>
        <v>12633.872064583307</v>
      </c>
      <c r="AN213" s="158">
        <f t="shared" ca="1" si="149"/>
        <v>10613.756590371289</v>
      </c>
      <c r="AO213" s="169">
        <f t="shared" ca="1" si="150"/>
        <v>117</v>
      </c>
      <c r="AP213" s="169">
        <f t="shared" ca="1" si="151"/>
        <v>94</v>
      </c>
      <c r="AQ213" s="158">
        <f t="shared" ca="1" si="152"/>
        <v>0</v>
      </c>
      <c r="AR213" s="158">
        <f t="shared" ca="1" si="153"/>
        <v>37.536100721152252</v>
      </c>
      <c r="AS213" s="170"/>
      <c r="AT213" s="159"/>
      <c r="AU213" s="159"/>
    </row>
    <row r="214" spans="1:47" x14ac:dyDescent="0.6">
      <c r="A214" s="171" t="str">
        <f t="shared" ca="1" si="119"/>
        <v>Mai 2041</v>
      </c>
      <c r="B214" s="191">
        <v>0</v>
      </c>
      <c r="C214" s="269">
        <f t="shared" ca="1" si="139"/>
        <v>5.4899999999999997E-2</v>
      </c>
      <c r="D214" s="173" t="str">
        <f t="shared" ca="1" si="140"/>
        <v/>
      </c>
      <c r="E214" s="174" t="str">
        <f t="shared" ca="1" si="141"/>
        <v/>
      </c>
      <c r="F214" s="175">
        <f t="shared" ca="1" si="142"/>
        <v>49</v>
      </c>
      <c r="G214" s="10">
        <v>197</v>
      </c>
      <c r="H214" s="176">
        <f t="shared" ca="1" si="143"/>
        <v>116</v>
      </c>
      <c r="I214" s="12">
        <f t="shared" ca="1" si="144"/>
        <v>12558.799863141001</v>
      </c>
      <c r="J214" s="12">
        <f t="shared" ca="1" si="120"/>
        <v>4354.1876836538531</v>
      </c>
      <c r="K214" s="177">
        <f t="shared" ca="1" si="121"/>
        <v>8204.6121794871469</v>
      </c>
      <c r="L214" s="177">
        <f t="shared" ca="1" si="122"/>
        <v>943530.40064102726</v>
      </c>
      <c r="M214" s="11">
        <f t="shared" ca="1" si="123"/>
        <v>0</v>
      </c>
      <c r="N214" s="12">
        <f ca="1">IF(Y214=0, 0, ROUND(SUM(Y$17:Y214)-SUM(J$17:J214),0))</f>
        <v>0</v>
      </c>
      <c r="O214" s="12" t="str">
        <f t="shared" ca="1" si="124"/>
        <v/>
      </c>
      <c r="P214" s="12">
        <f t="shared" ca="1" si="125"/>
        <v>4050000</v>
      </c>
      <c r="Q214" s="178">
        <f t="shared" ca="1" si="117"/>
        <v>5000000</v>
      </c>
      <c r="R214" s="178">
        <f t="shared" ca="1" si="117"/>
        <v>0</v>
      </c>
      <c r="S214" s="178">
        <f t="shared" ca="1" si="117"/>
        <v>358488</v>
      </c>
      <c r="T214" s="178">
        <f t="shared" ca="1" si="117"/>
        <v>628000</v>
      </c>
      <c r="U214" s="179" t="str">
        <f t="shared" ca="1" si="126"/>
        <v/>
      </c>
      <c r="V214" s="180">
        <f t="shared" ca="1" si="118"/>
        <v>2.0799999999999996</v>
      </c>
      <c r="W214" s="181">
        <f t="shared" ca="1" si="145"/>
        <v>116</v>
      </c>
      <c r="X214" s="177">
        <f t="shared" ca="1" si="127"/>
        <v>12558.799863141026</v>
      </c>
      <c r="Y214" s="12">
        <f t="shared" ca="1" si="128"/>
        <v>4354.1876836538477</v>
      </c>
      <c r="Z214" s="182">
        <f t="shared" ca="1" si="129"/>
        <v>943530.40064102598</v>
      </c>
      <c r="AA214" s="271">
        <f t="shared" ca="1" si="146"/>
        <v>0.22</v>
      </c>
      <c r="AB214" s="12">
        <f t="shared" ca="1" si="130"/>
        <v>11639.098572737152</v>
      </c>
      <c r="AC214" s="12">
        <f t="shared" ca="1" si="131"/>
        <v>11639.098572737181</v>
      </c>
      <c r="AD214" s="199"/>
      <c r="AE214" s="273">
        <f t="shared" ca="1" si="132"/>
        <v>1.6821425527395739E-3</v>
      </c>
      <c r="AF214" s="184">
        <f t="shared" ca="1" si="133"/>
        <v>0.71893987139990223</v>
      </c>
      <c r="AG214" s="12">
        <f t="shared" ca="1" si="134"/>
        <v>8367.8120310944341</v>
      </c>
      <c r="AH214" s="12">
        <f t="shared" ca="1" si="135"/>
        <v>8367.8120310944541</v>
      </c>
      <c r="AI214" s="185">
        <f t="shared" ca="1" si="136"/>
        <v>49</v>
      </c>
      <c r="AJ214" s="177">
        <f t="shared" ca="1" si="137"/>
        <v>49</v>
      </c>
      <c r="AK214" s="12">
        <f t="shared" ca="1" si="138"/>
        <v>-12607.799863141001</v>
      </c>
      <c r="AL214" s="185">
        <f t="shared" ca="1" si="147"/>
        <v>12558.799863141001</v>
      </c>
      <c r="AM214" s="177">
        <f t="shared" ca="1" si="148"/>
        <v>12596.335963862155</v>
      </c>
      <c r="AN214" s="177">
        <f t="shared" ca="1" si="149"/>
        <v>10591.692810628154</v>
      </c>
      <c r="AO214" s="196">
        <f t="shared" ca="1" si="150"/>
        <v>116</v>
      </c>
      <c r="AP214" s="196">
        <f t="shared" ca="1" si="151"/>
        <v>93</v>
      </c>
      <c r="AQ214" s="177">
        <f t="shared" ca="1" si="152"/>
        <v>0</v>
      </c>
      <c r="AR214" s="177">
        <f t="shared" ca="1" si="153"/>
        <v>37.536100721154071</v>
      </c>
      <c r="AS214" s="189"/>
      <c r="AT214" s="190"/>
      <c r="AU214" s="190"/>
    </row>
    <row r="215" spans="1:47" x14ac:dyDescent="0.6">
      <c r="A215" s="152" t="str">
        <f t="shared" ca="1" si="119"/>
        <v>Juni 2041</v>
      </c>
      <c r="B215" s="191">
        <v>0</v>
      </c>
      <c r="C215" s="270">
        <f t="shared" ca="1" si="139"/>
        <v>5.4899999999999997E-2</v>
      </c>
      <c r="D215" s="192" t="str">
        <f t="shared" ca="1" si="140"/>
        <v/>
      </c>
      <c r="E215" s="193" t="str">
        <f t="shared" ca="1" si="141"/>
        <v/>
      </c>
      <c r="F215" s="194">
        <f t="shared" ca="1" si="142"/>
        <v>49</v>
      </c>
      <c r="G215" s="14">
        <v>198</v>
      </c>
      <c r="H215" s="157">
        <f t="shared" ca="1" si="143"/>
        <v>115</v>
      </c>
      <c r="I215" s="16">
        <f t="shared" ca="1" si="144"/>
        <v>12521.263762419847</v>
      </c>
      <c r="J215" s="16">
        <f t="shared" ca="1" si="120"/>
        <v>4316.6515829326991</v>
      </c>
      <c r="K215" s="158">
        <f t="shared" ca="1" si="121"/>
        <v>8204.6121794871469</v>
      </c>
      <c r="L215" s="158">
        <f t="shared" ca="1" si="122"/>
        <v>935325.78846154013</v>
      </c>
      <c r="M215" s="15">
        <f t="shared" ca="1" si="123"/>
        <v>0</v>
      </c>
      <c r="N215" s="16">
        <f ca="1">IF(Y215=0, 0, ROUND(SUM(Y$17:Y215)-SUM(J$17:J215),0))</f>
        <v>0</v>
      </c>
      <c r="O215" s="16" t="str">
        <f t="shared" ca="1" si="124"/>
        <v/>
      </c>
      <c r="P215" s="16">
        <f t="shared" ca="1" si="125"/>
        <v>4060000</v>
      </c>
      <c r="Q215" s="160">
        <f t="shared" ca="1" si="117"/>
        <v>5000000</v>
      </c>
      <c r="R215" s="160">
        <f t="shared" ca="1" si="117"/>
        <v>0</v>
      </c>
      <c r="S215" s="160">
        <f t="shared" ca="1" si="117"/>
        <v>358488</v>
      </c>
      <c r="T215" s="160">
        <f t="shared" ca="1" si="117"/>
        <v>628000</v>
      </c>
      <c r="U215" s="161" t="str">
        <f t="shared" ca="1" si="126"/>
        <v/>
      </c>
      <c r="V215" s="162">
        <f t="shared" ca="1" si="118"/>
        <v>2.0699999999999998</v>
      </c>
      <c r="W215" s="195">
        <f t="shared" ca="1" si="145"/>
        <v>115</v>
      </c>
      <c r="X215" s="158">
        <f t="shared" ca="1" si="127"/>
        <v>12521.263762419872</v>
      </c>
      <c r="Y215" s="16">
        <f t="shared" ca="1" si="128"/>
        <v>4316.6515829326936</v>
      </c>
      <c r="Z215" s="164">
        <f t="shared" ca="1" si="129"/>
        <v>935325.78846153873</v>
      </c>
      <c r="AA215" s="272">
        <f t="shared" ca="1" si="146"/>
        <v>0.22</v>
      </c>
      <c r="AB215" s="16">
        <f t="shared" ca="1" si="130"/>
        <v>11609.820414174652</v>
      </c>
      <c r="AC215" s="16">
        <f t="shared" ca="1" si="131"/>
        <v>11609.820414174681</v>
      </c>
      <c r="AD215" s="197"/>
      <c r="AE215" s="274">
        <f t="shared" ca="1" si="132"/>
        <v>1.6821425527395739E-3</v>
      </c>
      <c r="AF215" s="166">
        <f t="shared" ca="1" si="133"/>
        <v>0.71773051204935934</v>
      </c>
      <c r="AG215" s="16">
        <f t="shared" ca="1" si="134"/>
        <v>8332.7223506666778</v>
      </c>
      <c r="AH215" s="16">
        <f t="shared" ca="1" si="135"/>
        <v>8332.7223506666996</v>
      </c>
      <c r="AI215" s="168">
        <f t="shared" ca="1" si="136"/>
        <v>49</v>
      </c>
      <c r="AJ215" s="158">
        <f t="shared" ca="1" si="137"/>
        <v>49</v>
      </c>
      <c r="AK215" s="16">
        <f t="shared" ca="1" si="138"/>
        <v>-12570.263762419847</v>
      </c>
      <c r="AL215" s="168">
        <f t="shared" ca="1" si="147"/>
        <v>12521.263762419847</v>
      </c>
      <c r="AM215" s="158">
        <f t="shared" ca="1" si="148"/>
        <v>12558.799863141001</v>
      </c>
      <c r="AN215" s="158">
        <f t="shared" ca="1" si="149"/>
        <v>10569.656799473916</v>
      </c>
      <c r="AO215" s="169">
        <f t="shared" ca="1" si="150"/>
        <v>115</v>
      </c>
      <c r="AP215" s="169">
        <f t="shared" ca="1" si="151"/>
        <v>93</v>
      </c>
      <c r="AQ215" s="158">
        <f t="shared" ca="1" si="152"/>
        <v>0</v>
      </c>
      <c r="AR215" s="158">
        <f t="shared" ca="1" si="153"/>
        <v>37.536100721154071</v>
      </c>
      <c r="AS215" s="170"/>
      <c r="AT215" s="159"/>
      <c r="AU215" s="159"/>
    </row>
    <row r="216" spans="1:47" x14ac:dyDescent="0.6">
      <c r="A216" s="171" t="str">
        <f t="shared" ca="1" si="119"/>
        <v>Juli 2041</v>
      </c>
      <c r="B216" s="191">
        <v>0</v>
      </c>
      <c r="C216" s="269">
        <f t="shared" ca="1" si="139"/>
        <v>5.4899999999999997E-2</v>
      </c>
      <c r="D216" s="173" t="str">
        <f t="shared" ca="1" si="140"/>
        <v/>
      </c>
      <c r="E216" s="174" t="str">
        <f t="shared" ca="1" si="141"/>
        <v/>
      </c>
      <c r="F216" s="175">
        <f t="shared" ca="1" si="142"/>
        <v>49</v>
      </c>
      <c r="G216" s="10">
        <v>199</v>
      </c>
      <c r="H216" s="176">
        <f t="shared" ca="1" si="143"/>
        <v>114</v>
      </c>
      <c r="I216" s="12">
        <f t="shared" ca="1" si="144"/>
        <v>12483.727661698693</v>
      </c>
      <c r="J216" s="12">
        <f t="shared" ca="1" si="120"/>
        <v>4279.1154822115459</v>
      </c>
      <c r="K216" s="177">
        <f t="shared" ca="1" si="121"/>
        <v>8204.6121794871469</v>
      </c>
      <c r="L216" s="177">
        <f t="shared" ca="1" si="122"/>
        <v>927121.176282053</v>
      </c>
      <c r="M216" s="11">
        <f t="shared" ca="1" si="123"/>
        <v>0</v>
      </c>
      <c r="N216" s="12">
        <f ca="1">IF(Y216=0, 0, ROUND(SUM(Y$17:Y216)-SUM(J$17:J216),0))</f>
        <v>0</v>
      </c>
      <c r="O216" s="12" t="str">
        <f t="shared" ca="1" si="124"/>
        <v/>
      </c>
      <c r="P216" s="12">
        <f t="shared" ca="1" si="125"/>
        <v>4070000</v>
      </c>
      <c r="Q216" s="178">
        <f t="shared" ca="1" si="117"/>
        <v>5000000</v>
      </c>
      <c r="R216" s="178">
        <f t="shared" ca="1" si="117"/>
        <v>0</v>
      </c>
      <c r="S216" s="178">
        <f t="shared" ca="1" si="117"/>
        <v>358488</v>
      </c>
      <c r="T216" s="178">
        <f t="shared" ca="1" si="117"/>
        <v>628000</v>
      </c>
      <c r="U216" s="179" t="str">
        <f t="shared" ca="1" si="126"/>
        <v/>
      </c>
      <c r="V216" s="180">
        <f t="shared" ca="1" si="118"/>
        <v>2.0499999999999998</v>
      </c>
      <c r="W216" s="181">
        <f t="shared" ca="1" si="145"/>
        <v>114</v>
      </c>
      <c r="X216" s="177">
        <f t="shared" ca="1" si="127"/>
        <v>12483.727661698718</v>
      </c>
      <c r="Y216" s="12">
        <f t="shared" ca="1" si="128"/>
        <v>4279.1154822115395</v>
      </c>
      <c r="Z216" s="182">
        <f t="shared" ca="1" si="129"/>
        <v>927121.1762820516</v>
      </c>
      <c r="AA216" s="271">
        <f t="shared" ca="1" si="146"/>
        <v>0.22</v>
      </c>
      <c r="AB216" s="12">
        <f t="shared" ca="1" si="130"/>
        <v>11580.542255612152</v>
      </c>
      <c r="AC216" s="12">
        <f t="shared" ca="1" si="131"/>
        <v>11580.542255612181</v>
      </c>
      <c r="AD216" s="199"/>
      <c r="AE216" s="273">
        <f t="shared" ca="1" si="132"/>
        <v>1.6821425527395739E-3</v>
      </c>
      <c r="AF216" s="184">
        <f t="shared" ca="1" si="133"/>
        <v>0.71652318701364159</v>
      </c>
      <c r="AG216" s="12">
        <f t="shared" ca="1" si="134"/>
        <v>8297.7270443373654</v>
      </c>
      <c r="AH216" s="12">
        <f t="shared" ca="1" si="135"/>
        <v>8297.7270443373855</v>
      </c>
      <c r="AI216" s="185">
        <f t="shared" ca="1" si="136"/>
        <v>49</v>
      </c>
      <c r="AJ216" s="177">
        <f t="shared" ca="1" si="137"/>
        <v>49</v>
      </c>
      <c r="AK216" s="12">
        <f t="shared" ca="1" si="138"/>
        <v>-12532.727661698693</v>
      </c>
      <c r="AL216" s="185">
        <f t="shared" ca="1" si="147"/>
        <v>12483.727661698693</v>
      </c>
      <c r="AM216" s="177">
        <f t="shared" ca="1" si="148"/>
        <v>12521.263762419847</v>
      </c>
      <c r="AN216" s="177">
        <f t="shared" ca="1" si="149"/>
        <v>10547.648570206358</v>
      </c>
      <c r="AO216" s="196">
        <f t="shared" ca="1" si="150"/>
        <v>114</v>
      </c>
      <c r="AP216" s="196">
        <f t="shared" ca="1" si="151"/>
        <v>92</v>
      </c>
      <c r="AQ216" s="177">
        <f t="shared" ca="1" si="152"/>
        <v>0</v>
      </c>
      <c r="AR216" s="177">
        <f t="shared" ca="1" si="153"/>
        <v>37.536100721154071</v>
      </c>
      <c r="AS216" s="189"/>
      <c r="AT216" s="190"/>
      <c r="AU216" s="190"/>
    </row>
    <row r="217" spans="1:47" x14ac:dyDescent="0.6">
      <c r="A217" s="152" t="str">
        <f t="shared" ca="1" si="119"/>
        <v>August 2041</v>
      </c>
      <c r="B217" s="191">
        <v>0</v>
      </c>
      <c r="C217" s="270">
        <f t="shared" ca="1" si="139"/>
        <v>5.4899999999999997E-2</v>
      </c>
      <c r="D217" s="192" t="str">
        <f t="shared" ca="1" si="140"/>
        <v/>
      </c>
      <c r="E217" s="193" t="str">
        <f t="shared" ca="1" si="141"/>
        <v/>
      </c>
      <c r="F217" s="194">
        <f t="shared" ca="1" si="142"/>
        <v>49</v>
      </c>
      <c r="G217" s="14">
        <v>200</v>
      </c>
      <c r="H217" s="157">
        <f t="shared" ca="1" si="143"/>
        <v>113</v>
      </c>
      <c r="I217" s="16">
        <f t="shared" ca="1" si="144"/>
        <v>12446.191560977539</v>
      </c>
      <c r="J217" s="16">
        <f t="shared" ca="1" si="120"/>
        <v>4241.5793814903927</v>
      </c>
      <c r="K217" s="158">
        <f t="shared" ca="1" si="121"/>
        <v>8204.6121794871469</v>
      </c>
      <c r="L217" s="158">
        <f t="shared" ca="1" si="122"/>
        <v>918916.56410256587</v>
      </c>
      <c r="M217" s="15">
        <f t="shared" ca="1" si="123"/>
        <v>-7.2759576141834259E-12</v>
      </c>
      <c r="N217" s="16">
        <f ca="1">IF(Y217=0, 0, ROUND(SUM(Y$17:Y217)-SUM(J$17:J217),0))</f>
        <v>0</v>
      </c>
      <c r="O217" s="16" t="str">
        <f t="shared" ca="1" si="124"/>
        <v/>
      </c>
      <c r="P217" s="16">
        <f t="shared" ca="1" si="125"/>
        <v>4080000</v>
      </c>
      <c r="Q217" s="160">
        <f t="shared" ca="1" si="117"/>
        <v>5000000</v>
      </c>
      <c r="R217" s="160">
        <f t="shared" ca="1" si="117"/>
        <v>0</v>
      </c>
      <c r="S217" s="160">
        <f t="shared" ca="1" si="117"/>
        <v>358488</v>
      </c>
      <c r="T217" s="160">
        <f t="shared" ca="1" si="117"/>
        <v>628000</v>
      </c>
      <c r="U217" s="161" t="str">
        <f t="shared" ca="1" si="126"/>
        <v/>
      </c>
      <c r="V217" s="162">
        <f t="shared" ca="1" si="118"/>
        <v>2.0399999999999996</v>
      </c>
      <c r="W217" s="195">
        <f t="shared" ca="1" si="145"/>
        <v>113</v>
      </c>
      <c r="X217" s="158">
        <f t="shared" ca="1" si="127"/>
        <v>12446.191560977564</v>
      </c>
      <c r="Y217" s="16">
        <f t="shared" ca="1" si="128"/>
        <v>4241.5793814903855</v>
      </c>
      <c r="Z217" s="164">
        <f t="shared" ca="1" si="129"/>
        <v>918916.56410256436</v>
      </c>
      <c r="AA217" s="272">
        <f t="shared" ca="1" si="146"/>
        <v>0.22</v>
      </c>
      <c r="AB217" s="16">
        <f t="shared" ca="1" si="130"/>
        <v>11551.264097049654</v>
      </c>
      <c r="AC217" s="16">
        <f t="shared" ca="1" si="131"/>
        <v>11551.26409704968</v>
      </c>
      <c r="AD217" s="197"/>
      <c r="AE217" s="274">
        <f t="shared" ca="1" si="132"/>
        <v>1.6821425527395739E-3</v>
      </c>
      <c r="AF217" s="166">
        <f t="shared" ca="1" si="133"/>
        <v>0.71531789287074132</v>
      </c>
      <c r="AG217" s="16">
        <f t="shared" ca="1" si="134"/>
        <v>8262.8258938950057</v>
      </c>
      <c r="AH217" s="16">
        <f t="shared" ca="1" si="135"/>
        <v>8262.8258938950239</v>
      </c>
      <c r="AI217" s="168">
        <f t="shared" ca="1" si="136"/>
        <v>49</v>
      </c>
      <c r="AJ217" s="158">
        <f t="shared" ca="1" si="137"/>
        <v>49</v>
      </c>
      <c r="AK217" s="16">
        <f t="shared" ca="1" si="138"/>
        <v>-12495.191560977539</v>
      </c>
      <c r="AL217" s="168">
        <f t="shared" ca="1" si="147"/>
        <v>12446.191560977539</v>
      </c>
      <c r="AM217" s="158">
        <f t="shared" ca="1" si="148"/>
        <v>12483.727661698693</v>
      </c>
      <c r="AN217" s="158">
        <f t="shared" ca="1" si="149"/>
        <v>10525.6681360156</v>
      </c>
      <c r="AO217" s="169">
        <f t="shared" ca="1" si="150"/>
        <v>113</v>
      </c>
      <c r="AP217" s="169">
        <f t="shared" ca="1" si="151"/>
        <v>91</v>
      </c>
      <c r="AQ217" s="158">
        <f t="shared" ca="1" si="152"/>
        <v>0</v>
      </c>
      <c r="AR217" s="158">
        <f t="shared" ca="1" si="153"/>
        <v>37.536100721154071</v>
      </c>
      <c r="AS217" s="170"/>
      <c r="AT217" s="159"/>
      <c r="AU217" s="159"/>
    </row>
    <row r="218" spans="1:47" x14ac:dyDescent="0.6">
      <c r="A218" s="171" t="str">
        <f t="shared" ca="1" si="119"/>
        <v>September 2041</v>
      </c>
      <c r="B218" s="191">
        <v>0</v>
      </c>
      <c r="C218" s="269">
        <f t="shared" ca="1" si="139"/>
        <v>5.4899999999999997E-2</v>
      </c>
      <c r="D218" s="173" t="str">
        <f t="shared" ca="1" si="140"/>
        <v/>
      </c>
      <c r="E218" s="174" t="str">
        <f t="shared" ca="1" si="141"/>
        <v/>
      </c>
      <c r="F218" s="175">
        <f t="shared" ca="1" si="142"/>
        <v>49</v>
      </c>
      <c r="G218" s="10">
        <v>201</v>
      </c>
      <c r="H218" s="176">
        <f t="shared" ca="1" si="143"/>
        <v>112</v>
      </c>
      <c r="I218" s="12">
        <f t="shared" ca="1" si="144"/>
        <v>12408.655460256385</v>
      </c>
      <c r="J218" s="12">
        <f t="shared" ca="1" si="120"/>
        <v>4204.0432807692387</v>
      </c>
      <c r="K218" s="177">
        <f t="shared" ca="1" si="121"/>
        <v>8204.6121794871469</v>
      </c>
      <c r="L218" s="177">
        <f t="shared" ca="1" si="122"/>
        <v>910711.95192307874</v>
      </c>
      <c r="M218" s="11">
        <f t="shared" ca="1" si="123"/>
        <v>-7.2759576141834259E-12</v>
      </c>
      <c r="N218" s="12">
        <f ca="1">IF(Y218=0, 0, ROUND(SUM(Y$17:Y218)-SUM(J$17:J218),0))</f>
        <v>0</v>
      </c>
      <c r="O218" s="12" t="str">
        <f t="shared" ca="1" si="124"/>
        <v/>
      </c>
      <c r="P218" s="12" t="str">
        <f t="shared" ca="1" si="125"/>
        <v/>
      </c>
      <c r="Q218" s="178">
        <f t="shared" ref="Q218:T237" ca="1" si="154">OFFSET(Q218,-1,0,1,1)</f>
        <v>5000000</v>
      </c>
      <c r="R218" s="178">
        <f t="shared" ca="1" si="154"/>
        <v>0</v>
      </c>
      <c r="S218" s="178">
        <f t="shared" ca="1" si="154"/>
        <v>358488</v>
      </c>
      <c r="T218" s="178">
        <f t="shared" ca="1" si="154"/>
        <v>628000</v>
      </c>
      <c r="U218" s="179" t="str">
        <f t="shared" ca="1" si="126"/>
        <v/>
      </c>
      <c r="V218" s="180">
        <f t="shared" ca="1" si="118"/>
        <v>2.0299999999999998</v>
      </c>
      <c r="W218" s="181">
        <f t="shared" ca="1" si="145"/>
        <v>112</v>
      </c>
      <c r="X218" s="177">
        <f t="shared" ca="1" si="127"/>
        <v>12408.65546025641</v>
      </c>
      <c r="Y218" s="12">
        <f t="shared" ca="1" si="128"/>
        <v>4204.0432807692314</v>
      </c>
      <c r="Z218" s="182">
        <f t="shared" ca="1" si="129"/>
        <v>910711.95192307723</v>
      </c>
      <c r="AA218" s="271">
        <f t="shared" ca="1" si="146"/>
        <v>0.22</v>
      </c>
      <c r="AB218" s="12">
        <f t="shared" ca="1" si="130"/>
        <v>11521.985938487152</v>
      </c>
      <c r="AC218" s="12">
        <f t="shared" ca="1" si="131"/>
        <v>11521.98593848718</v>
      </c>
      <c r="AD218" s="199"/>
      <c r="AE218" s="273">
        <f t="shared" ca="1" si="132"/>
        <v>1.6821425527395739E-3</v>
      </c>
      <c r="AF218" s="184">
        <f t="shared" ca="1" si="133"/>
        <v>0.71411462620440747</v>
      </c>
      <c r="AG218" s="12">
        <f t="shared" ca="1" si="134"/>
        <v>8228.0186815951911</v>
      </c>
      <c r="AH218" s="12">
        <f t="shared" ca="1" si="135"/>
        <v>8228.0186815952111</v>
      </c>
      <c r="AI218" s="185">
        <f t="shared" ca="1" si="136"/>
        <v>49</v>
      </c>
      <c r="AJ218" s="177">
        <f t="shared" ca="1" si="137"/>
        <v>49</v>
      </c>
      <c r="AK218" s="12">
        <f t="shared" ca="1" si="138"/>
        <v>-12457.655460256385</v>
      </c>
      <c r="AL218" s="185">
        <f t="shared" ca="1" si="147"/>
        <v>12408.655460256385</v>
      </c>
      <c r="AM218" s="177">
        <f t="shared" ca="1" si="148"/>
        <v>12446.191560977539</v>
      </c>
      <c r="AN218" s="177">
        <f t="shared" ca="1" si="149"/>
        <v>10503.715509983922</v>
      </c>
      <c r="AO218" s="196">
        <f t="shared" ca="1" si="150"/>
        <v>112</v>
      </c>
      <c r="AP218" s="196">
        <f t="shared" ca="1" si="151"/>
        <v>91</v>
      </c>
      <c r="AQ218" s="177">
        <f t="shared" ca="1" si="152"/>
        <v>0</v>
      </c>
      <c r="AR218" s="177">
        <f t="shared" ca="1" si="153"/>
        <v>37.536100721154071</v>
      </c>
      <c r="AS218" s="189"/>
      <c r="AT218" s="190"/>
      <c r="AU218" s="190"/>
    </row>
    <row r="219" spans="1:47" x14ac:dyDescent="0.6">
      <c r="A219" s="152" t="str">
        <f t="shared" ca="1" si="119"/>
        <v>Oktober 2041</v>
      </c>
      <c r="B219" s="191">
        <v>0</v>
      </c>
      <c r="C219" s="270">
        <f t="shared" ca="1" si="139"/>
        <v>5.4899999999999997E-2</v>
      </c>
      <c r="D219" s="192" t="str">
        <f t="shared" ca="1" si="140"/>
        <v/>
      </c>
      <c r="E219" s="193" t="str">
        <f t="shared" ca="1" si="141"/>
        <v/>
      </c>
      <c r="F219" s="194">
        <f t="shared" ca="1" si="142"/>
        <v>49</v>
      </c>
      <c r="G219" s="14">
        <v>202</v>
      </c>
      <c r="H219" s="157">
        <f t="shared" ca="1" si="143"/>
        <v>111</v>
      </c>
      <c r="I219" s="16">
        <f t="shared" ca="1" si="144"/>
        <v>12371.119359535231</v>
      </c>
      <c r="J219" s="16">
        <f t="shared" ca="1" si="120"/>
        <v>4166.5071800480846</v>
      </c>
      <c r="K219" s="158">
        <f t="shared" ca="1" si="121"/>
        <v>8204.6121794871469</v>
      </c>
      <c r="L219" s="158">
        <f t="shared" ca="1" si="122"/>
        <v>902507.33974359161</v>
      </c>
      <c r="M219" s="15">
        <f t="shared" ca="1" si="123"/>
        <v>0</v>
      </c>
      <c r="N219" s="16">
        <f ca="1">IF(Y219=0, 0, ROUND(SUM(Y$17:Y219)-SUM(J$17:J219),0))</f>
        <v>0</v>
      </c>
      <c r="O219" s="16" t="str">
        <f t="shared" ca="1" si="124"/>
        <v/>
      </c>
      <c r="P219" s="16">
        <f t="shared" ca="1" si="125"/>
        <v>4090000</v>
      </c>
      <c r="Q219" s="160">
        <f t="shared" ca="1" si="154"/>
        <v>5000000</v>
      </c>
      <c r="R219" s="160">
        <f t="shared" ca="1" si="154"/>
        <v>0</v>
      </c>
      <c r="S219" s="160">
        <f t="shared" ca="1" si="154"/>
        <v>358488</v>
      </c>
      <c r="T219" s="160">
        <f t="shared" ca="1" si="154"/>
        <v>628000</v>
      </c>
      <c r="U219" s="161" t="str">
        <f t="shared" ca="1" si="126"/>
        <v/>
      </c>
      <c r="V219" s="162">
        <f t="shared" ca="1" si="118"/>
        <v>2.0099999999999998</v>
      </c>
      <c r="W219" s="195">
        <f t="shared" ca="1" si="145"/>
        <v>111</v>
      </c>
      <c r="X219" s="158">
        <f t="shared" ca="1" si="127"/>
        <v>12371.119359535258</v>
      </c>
      <c r="Y219" s="16">
        <f t="shared" ca="1" si="128"/>
        <v>4166.5071800480782</v>
      </c>
      <c r="Z219" s="164">
        <f t="shared" ca="1" si="129"/>
        <v>902507.33974358998</v>
      </c>
      <c r="AA219" s="272">
        <f t="shared" ca="1" si="146"/>
        <v>0.22</v>
      </c>
      <c r="AB219" s="16">
        <f t="shared" ca="1" si="130"/>
        <v>11492.707779924653</v>
      </c>
      <c r="AC219" s="16">
        <f t="shared" ca="1" si="131"/>
        <v>11492.70777992468</v>
      </c>
      <c r="AD219" s="197"/>
      <c r="AE219" s="274">
        <f t="shared" ca="1" si="132"/>
        <v>1.6821425527395739E-3</v>
      </c>
      <c r="AF219" s="166">
        <f t="shared" ca="1" si="133"/>
        <v>0.71291338360413536</v>
      </c>
      <c r="AG219" s="16">
        <f t="shared" ca="1" si="134"/>
        <v>8193.3051901596555</v>
      </c>
      <c r="AH219" s="16">
        <f t="shared" ca="1" si="135"/>
        <v>8193.3051901596737</v>
      </c>
      <c r="AI219" s="168">
        <f t="shared" ca="1" si="136"/>
        <v>49</v>
      </c>
      <c r="AJ219" s="158">
        <f t="shared" ca="1" si="137"/>
        <v>49</v>
      </c>
      <c r="AK219" s="16">
        <f t="shared" ca="1" si="138"/>
        <v>-12420.119359535231</v>
      </c>
      <c r="AL219" s="168">
        <f t="shared" ca="1" si="147"/>
        <v>12371.119359535231</v>
      </c>
      <c r="AM219" s="158">
        <f t="shared" ca="1" si="148"/>
        <v>12408.655460256385</v>
      </c>
      <c r="AN219" s="158">
        <f t="shared" ca="1" si="149"/>
        <v>10481.790705085567</v>
      </c>
      <c r="AO219" s="169">
        <f t="shared" ca="1" si="150"/>
        <v>111</v>
      </c>
      <c r="AP219" s="169">
        <f t="shared" ca="1" si="151"/>
        <v>90</v>
      </c>
      <c r="AQ219" s="158">
        <f t="shared" ca="1" si="152"/>
        <v>0</v>
      </c>
      <c r="AR219" s="158">
        <f t="shared" ca="1" si="153"/>
        <v>37.536100721154071</v>
      </c>
      <c r="AS219" s="170"/>
      <c r="AT219" s="159"/>
      <c r="AU219" s="159"/>
    </row>
    <row r="220" spans="1:47" x14ac:dyDescent="0.6">
      <c r="A220" s="171" t="str">
        <f t="shared" ca="1" si="119"/>
        <v>November 2041</v>
      </c>
      <c r="B220" s="191">
        <v>0</v>
      </c>
      <c r="C220" s="269">
        <f t="shared" ca="1" si="139"/>
        <v>5.4899999999999997E-2</v>
      </c>
      <c r="D220" s="173" t="str">
        <f t="shared" ca="1" si="140"/>
        <v/>
      </c>
      <c r="E220" s="174" t="str">
        <f t="shared" ca="1" si="141"/>
        <v/>
      </c>
      <c r="F220" s="175">
        <f t="shared" ca="1" si="142"/>
        <v>49</v>
      </c>
      <c r="G220" s="10">
        <v>203</v>
      </c>
      <c r="H220" s="176">
        <f t="shared" ca="1" si="143"/>
        <v>110</v>
      </c>
      <c r="I220" s="12">
        <f t="shared" ca="1" si="144"/>
        <v>12333.583258814078</v>
      </c>
      <c r="J220" s="12">
        <f t="shared" ca="1" si="120"/>
        <v>4128.9710793269314</v>
      </c>
      <c r="K220" s="177">
        <f t="shared" ca="1" si="121"/>
        <v>8204.6121794871469</v>
      </c>
      <c r="L220" s="177">
        <f t="shared" ca="1" si="122"/>
        <v>894302.72756410448</v>
      </c>
      <c r="M220" s="11">
        <f t="shared" ca="1" si="123"/>
        <v>-7.2759576141834259E-12</v>
      </c>
      <c r="N220" s="12">
        <f ca="1">IF(Y220=0, 0, ROUND(SUM(Y$17:Y220)-SUM(J$17:J220),0))</f>
        <v>0</v>
      </c>
      <c r="O220" s="12" t="str">
        <f t="shared" ca="1" si="124"/>
        <v/>
      </c>
      <c r="P220" s="12">
        <f t="shared" ca="1" si="125"/>
        <v>4100000</v>
      </c>
      <c r="Q220" s="178">
        <f t="shared" ca="1" si="154"/>
        <v>5000000</v>
      </c>
      <c r="R220" s="178">
        <f t="shared" ca="1" si="154"/>
        <v>0</v>
      </c>
      <c r="S220" s="178">
        <f t="shared" ca="1" si="154"/>
        <v>358488</v>
      </c>
      <c r="T220" s="178">
        <f t="shared" ca="1" si="154"/>
        <v>628000</v>
      </c>
      <c r="U220" s="179" t="str">
        <f t="shared" ca="1" si="126"/>
        <v/>
      </c>
      <c r="V220" s="180">
        <f t="shared" ca="1" si="118"/>
        <v>2</v>
      </c>
      <c r="W220" s="181">
        <f t="shared" ca="1" si="145"/>
        <v>110</v>
      </c>
      <c r="X220" s="177">
        <f t="shared" ca="1" si="127"/>
        <v>12333.583258814104</v>
      </c>
      <c r="Y220" s="12">
        <f t="shared" ca="1" si="128"/>
        <v>4128.9710793269242</v>
      </c>
      <c r="Z220" s="182">
        <f t="shared" ca="1" si="129"/>
        <v>894302.72756410285</v>
      </c>
      <c r="AA220" s="271">
        <f t="shared" ca="1" si="146"/>
        <v>0.22</v>
      </c>
      <c r="AB220" s="12">
        <f t="shared" ca="1" si="130"/>
        <v>11463.429621362153</v>
      </c>
      <c r="AC220" s="12">
        <f t="shared" ca="1" si="131"/>
        <v>11463.42962136218</v>
      </c>
      <c r="AD220" s="199"/>
      <c r="AE220" s="273">
        <f t="shared" ca="1" si="132"/>
        <v>1.6821425527395739E-3</v>
      </c>
      <c r="AF220" s="184">
        <f t="shared" ca="1" si="133"/>
        <v>0.71171416166515733</v>
      </c>
      <c r="AG220" s="12">
        <f t="shared" ca="1" si="134"/>
        <v>8158.6852027752966</v>
      </c>
      <c r="AH220" s="12">
        <f t="shared" ca="1" si="135"/>
        <v>8158.6852027753157</v>
      </c>
      <c r="AI220" s="185">
        <f t="shared" ca="1" si="136"/>
        <v>49</v>
      </c>
      <c r="AJ220" s="177">
        <f t="shared" ca="1" si="137"/>
        <v>49</v>
      </c>
      <c r="AK220" s="12">
        <f t="shared" ca="1" si="138"/>
        <v>-12382.583258814078</v>
      </c>
      <c r="AL220" s="185">
        <f t="shared" ca="1" si="147"/>
        <v>12333.583258814078</v>
      </c>
      <c r="AM220" s="177">
        <f t="shared" ca="1" si="148"/>
        <v>12371.119359535231</v>
      </c>
      <c r="AN220" s="177">
        <f t="shared" ca="1" si="149"/>
        <v>10459.893734186573</v>
      </c>
      <c r="AO220" s="196">
        <f t="shared" ca="1" si="150"/>
        <v>110</v>
      </c>
      <c r="AP220" s="196">
        <f t="shared" ca="1" si="151"/>
        <v>89</v>
      </c>
      <c r="AQ220" s="177">
        <f t="shared" ca="1" si="152"/>
        <v>0</v>
      </c>
      <c r="AR220" s="177">
        <f t="shared" ca="1" si="153"/>
        <v>37.536100721152252</v>
      </c>
      <c r="AS220" s="189"/>
      <c r="AT220" s="190"/>
      <c r="AU220" s="190"/>
    </row>
    <row r="221" spans="1:47" x14ac:dyDescent="0.6">
      <c r="A221" s="152" t="str">
        <f t="shared" ca="1" si="119"/>
        <v>Desember 2041</v>
      </c>
      <c r="B221" s="191">
        <v>0</v>
      </c>
      <c r="C221" s="270">
        <f t="shared" ca="1" si="139"/>
        <v>5.4899999999999997E-2</v>
      </c>
      <c r="D221" s="192" t="str">
        <f t="shared" ca="1" si="140"/>
        <v/>
      </c>
      <c r="E221" s="193" t="str">
        <f t="shared" ca="1" si="141"/>
        <v/>
      </c>
      <c r="F221" s="194">
        <f t="shared" ca="1" si="142"/>
        <v>49</v>
      </c>
      <c r="G221" s="14">
        <v>204</v>
      </c>
      <c r="H221" s="157">
        <f t="shared" ca="1" si="143"/>
        <v>109</v>
      </c>
      <c r="I221" s="16">
        <f t="shared" ca="1" si="144"/>
        <v>12296.047158092924</v>
      </c>
      <c r="J221" s="16">
        <f t="shared" ca="1" si="120"/>
        <v>4091.4349786057778</v>
      </c>
      <c r="K221" s="158">
        <f t="shared" ca="1" si="121"/>
        <v>8204.6121794871469</v>
      </c>
      <c r="L221" s="158">
        <f t="shared" ca="1" si="122"/>
        <v>886098.11538461735</v>
      </c>
      <c r="M221" s="15">
        <f t="shared" ca="1" si="123"/>
        <v>-7.73070496506989E-12</v>
      </c>
      <c r="N221" s="16">
        <f ca="1">IF(Y221=0, 0, ROUND(SUM(Y$17:Y221)-SUM(J$17:J221),0))</f>
        <v>0</v>
      </c>
      <c r="O221" s="16" t="str">
        <f t="shared" ca="1" si="124"/>
        <v/>
      </c>
      <c r="P221" s="16">
        <f t="shared" ca="1" si="125"/>
        <v>4110000</v>
      </c>
      <c r="Q221" s="160">
        <f t="shared" ca="1" si="154"/>
        <v>5000000</v>
      </c>
      <c r="R221" s="160">
        <f t="shared" ca="1" si="154"/>
        <v>0</v>
      </c>
      <c r="S221" s="160">
        <f t="shared" ca="1" si="154"/>
        <v>358488</v>
      </c>
      <c r="T221" s="160">
        <f t="shared" ca="1" si="154"/>
        <v>628000</v>
      </c>
      <c r="U221" s="161" t="str">
        <f t="shared" ca="1" si="126"/>
        <v/>
      </c>
      <c r="V221" s="162">
        <f t="shared" ca="1" si="118"/>
        <v>1.99</v>
      </c>
      <c r="W221" s="195">
        <f t="shared" ca="1" si="145"/>
        <v>109</v>
      </c>
      <c r="X221" s="158">
        <f t="shared" ca="1" si="127"/>
        <v>12296.04715809295</v>
      </c>
      <c r="Y221" s="16">
        <f t="shared" ca="1" si="128"/>
        <v>4091.4349786057701</v>
      </c>
      <c r="Z221" s="164">
        <f t="shared" ca="1" si="129"/>
        <v>886098.11538461561</v>
      </c>
      <c r="AA221" s="272">
        <f t="shared" ca="1" si="146"/>
        <v>0.22</v>
      </c>
      <c r="AB221" s="16">
        <f t="shared" ca="1" si="130"/>
        <v>11434.151462799653</v>
      </c>
      <c r="AC221" s="16">
        <f t="shared" ca="1" si="131"/>
        <v>11434.15146279968</v>
      </c>
      <c r="AD221" s="197"/>
      <c r="AE221" s="274">
        <f t="shared" ca="1" si="132"/>
        <v>1.6821425527395739E-3</v>
      </c>
      <c r="AF221" s="166">
        <f t="shared" ca="1" si="133"/>
        <v>0.71051695698843298</v>
      </c>
      <c r="AG221" s="16">
        <f t="shared" ca="1" si="134"/>
        <v>8124.1585030932492</v>
      </c>
      <c r="AH221" s="16">
        <f t="shared" ca="1" si="135"/>
        <v>8124.1585030932683</v>
      </c>
      <c r="AI221" s="168">
        <f t="shared" ca="1" si="136"/>
        <v>49</v>
      </c>
      <c r="AJ221" s="158">
        <f t="shared" ca="1" si="137"/>
        <v>49</v>
      </c>
      <c r="AK221" s="16">
        <f t="shared" ca="1" si="138"/>
        <v>-12345.047158092924</v>
      </c>
      <c r="AL221" s="168">
        <f t="shared" ca="1" si="147"/>
        <v>12296.047158092924</v>
      </c>
      <c r="AM221" s="158">
        <f t="shared" ca="1" si="148"/>
        <v>12333.583258814078</v>
      </c>
      <c r="AN221" s="158">
        <f t="shared" ca="1" si="149"/>
        <v>10438.024610044553</v>
      </c>
      <c r="AO221" s="169">
        <f t="shared" ca="1" si="150"/>
        <v>109</v>
      </c>
      <c r="AP221" s="169">
        <f t="shared" ca="1" si="151"/>
        <v>89</v>
      </c>
      <c r="AQ221" s="158">
        <f t="shared" ca="1" si="152"/>
        <v>0</v>
      </c>
      <c r="AR221" s="158">
        <f t="shared" ca="1" si="153"/>
        <v>37.536100721154071</v>
      </c>
      <c r="AS221" s="170"/>
      <c r="AT221" s="159"/>
      <c r="AU221" s="159"/>
    </row>
    <row r="222" spans="1:47" x14ac:dyDescent="0.6">
      <c r="A222" s="171" t="str">
        <f t="shared" ca="1" si="119"/>
        <v>Januar 2042</v>
      </c>
      <c r="B222" s="191">
        <v>0</v>
      </c>
      <c r="C222" s="269">
        <f t="shared" ca="1" si="139"/>
        <v>5.4899999999999997E-2</v>
      </c>
      <c r="D222" s="173" t="str">
        <f t="shared" ca="1" si="140"/>
        <v/>
      </c>
      <c r="E222" s="174" t="str">
        <f t="shared" ca="1" si="141"/>
        <v/>
      </c>
      <c r="F222" s="175">
        <f t="shared" ca="1" si="142"/>
        <v>49</v>
      </c>
      <c r="G222" s="10">
        <v>205</v>
      </c>
      <c r="H222" s="176">
        <f t="shared" ca="1" si="143"/>
        <v>108</v>
      </c>
      <c r="I222" s="12">
        <f t="shared" ca="1" si="144"/>
        <v>12258.511057371772</v>
      </c>
      <c r="J222" s="12">
        <f t="shared" ca="1" si="120"/>
        <v>4053.8988778846247</v>
      </c>
      <c r="K222" s="177">
        <f t="shared" ca="1" si="121"/>
        <v>8204.6121794871469</v>
      </c>
      <c r="L222" s="177">
        <f t="shared" ca="1" si="122"/>
        <v>877893.50320513023</v>
      </c>
      <c r="M222" s="11">
        <f t="shared" ca="1" si="123"/>
        <v>-8.6401996668428183E-12</v>
      </c>
      <c r="N222" s="12">
        <f ca="1">IF(Y222=0, 0, ROUND(SUM(Y$17:Y222)-SUM(J$17:J222),0))</f>
        <v>0</v>
      </c>
      <c r="O222" s="12" t="str">
        <f t="shared" ca="1" si="124"/>
        <v/>
      </c>
      <c r="P222" s="12">
        <f t="shared" ca="1" si="125"/>
        <v>4120000</v>
      </c>
      <c r="Q222" s="178">
        <f t="shared" ca="1" si="154"/>
        <v>5000000</v>
      </c>
      <c r="R222" s="178">
        <f t="shared" ca="1" si="154"/>
        <v>0</v>
      </c>
      <c r="S222" s="178">
        <f t="shared" ca="1" si="154"/>
        <v>358488</v>
      </c>
      <c r="T222" s="178">
        <f t="shared" ca="1" si="154"/>
        <v>628000</v>
      </c>
      <c r="U222" s="179" t="str">
        <f t="shared" ca="1" si="126"/>
        <v/>
      </c>
      <c r="V222" s="180">
        <f t="shared" ca="1" si="118"/>
        <v>1.97</v>
      </c>
      <c r="W222" s="181">
        <f t="shared" ca="1" si="145"/>
        <v>108</v>
      </c>
      <c r="X222" s="177">
        <f t="shared" ca="1" si="127"/>
        <v>12258.511057371796</v>
      </c>
      <c r="Y222" s="12">
        <f t="shared" ca="1" si="128"/>
        <v>4053.898877884616</v>
      </c>
      <c r="Z222" s="182">
        <f t="shared" ca="1" si="129"/>
        <v>877893.50320512848</v>
      </c>
      <c r="AA222" s="271">
        <f t="shared" ca="1" si="146"/>
        <v>0.22</v>
      </c>
      <c r="AB222" s="12">
        <f t="shared" ca="1" si="130"/>
        <v>11404.873304237155</v>
      </c>
      <c r="AC222" s="12">
        <f t="shared" ca="1" si="131"/>
        <v>11404.87330423718</v>
      </c>
      <c r="AD222" s="199"/>
      <c r="AE222" s="273">
        <f t="shared" ca="1" si="132"/>
        <v>1.6821425527395739E-3</v>
      </c>
      <c r="AF222" s="184">
        <f t="shared" ca="1" si="133"/>
        <v>0.70932176618063969</v>
      </c>
      <c r="AG222" s="12">
        <f t="shared" ca="1" si="134"/>
        <v>8089.7248752279265</v>
      </c>
      <c r="AH222" s="12">
        <f t="shared" ca="1" si="135"/>
        <v>8089.7248752279447</v>
      </c>
      <c r="AI222" s="185">
        <f t="shared" ca="1" si="136"/>
        <v>49</v>
      </c>
      <c r="AJ222" s="177">
        <f t="shared" ca="1" si="137"/>
        <v>49</v>
      </c>
      <c r="AK222" s="12">
        <f t="shared" ca="1" si="138"/>
        <v>-12307.511057371772</v>
      </c>
      <c r="AL222" s="185">
        <f t="shared" ca="1" si="147"/>
        <v>12258.511057371772</v>
      </c>
      <c r="AM222" s="177">
        <f t="shared" ca="1" si="148"/>
        <v>12296.047158092924</v>
      </c>
      <c r="AN222" s="177">
        <f t="shared" ca="1" si="149"/>
        <v>10416.183345308549</v>
      </c>
      <c r="AO222" s="196">
        <f t="shared" ca="1" si="150"/>
        <v>108</v>
      </c>
      <c r="AP222" s="196">
        <f t="shared" ca="1" si="151"/>
        <v>88</v>
      </c>
      <c r="AQ222" s="177">
        <f t="shared" ca="1" si="152"/>
        <v>0</v>
      </c>
      <c r="AR222" s="177">
        <f t="shared" ca="1" si="153"/>
        <v>37.536100721152252</v>
      </c>
      <c r="AS222" s="189"/>
      <c r="AT222" s="190"/>
      <c r="AU222" s="190"/>
    </row>
    <row r="223" spans="1:47" x14ac:dyDescent="0.6">
      <c r="A223" s="152" t="str">
        <f t="shared" ca="1" si="119"/>
        <v>Februar 2042</v>
      </c>
      <c r="B223" s="191">
        <v>0</v>
      </c>
      <c r="C223" s="270">
        <f t="shared" ca="1" si="139"/>
        <v>5.4899999999999997E-2</v>
      </c>
      <c r="D223" s="192" t="str">
        <f t="shared" ca="1" si="140"/>
        <v/>
      </c>
      <c r="E223" s="193" t="str">
        <f t="shared" ca="1" si="141"/>
        <v/>
      </c>
      <c r="F223" s="194">
        <f t="shared" ca="1" si="142"/>
        <v>49</v>
      </c>
      <c r="G223" s="14">
        <v>206</v>
      </c>
      <c r="H223" s="157">
        <f t="shared" ca="1" si="143"/>
        <v>107</v>
      </c>
      <c r="I223" s="16">
        <f t="shared" ca="1" si="144"/>
        <v>12220.974956650618</v>
      </c>
      <c r="J223" s="16">
        <f t="shared" ca="1" si="120"/>
        <v>4016.3627771634706</v>
      </c>
      <c r="K223" s="158">
        <f t="shared" ca="1" si="121"/>
        <v>8204.6121794871469</v>
      </c>
      <c r="L223" s="158">
        <f t="shared" ca="1" si="122"/>
        <v>869688.8910256431</v>
      </c>
      <c r="M223" s="15">
        <f t="shared" ca="1" si="123"/>
        <v>-8.1854523159563541E-12</v>
      </c>
      <c r="N223" s="16">
        <f ca="1">IF(Y223=0, 0, ROUND(SUM(Y$17:Y223)-SUM(J$17:J223),0))</f>
        <v>0</v>
      </c>
      <c r="O223" s="16" t="str">
        <f t="shared" ca="1" si="124"/>
        <v/>
      </c>
      <c r="P223" s="16">
        <f t="shared" ca="1" si="125"/>
        <v>4130000</v>
      </c>
      <c r="Q223" s="160">
        <f t="shared" ca="1" si="154"/>
        <v>5000000</v>
      </c>
      <c r="R223" s="160">
        <f t="shared" ca="1" si="154"/>
        <v>0</v>
      </c>
      <c r="S223" s="160">
        <f t="shared" ca="1" si="154"/>
        <v>358488</v>
      </c>
      <c r="T223" s="160">
        <f t="shared" ca="1" si="154"/>
        <v>628000</v>
      </c>
      <c r="U223" s="161" t="str">
        <f t="shared" ca="1" si="126"/>
        <v/>
      </c>
      <c r="V223" s="162">
        <f t="shared" ca="1" si="118"/>
        <v>1.96</v>
      </c>
      <c r="W223" s="195">
        <f t="shared" ca="1" si="145"/>
        <v>107</v>
      </c>
      <c r="X223" s="158">
        <f t="shared" ca="1" si="127"/>
        <v>12220.974956650642</v>
      </c>
      <c r="Y223" s="16">
        <f t="shared" ca="1" si="128"/>
        <v>4016.3627771634624</v>
      </c>
      <c r="Z223" s="164">
        <f t="shared" ca="1" si="129"/>
        <v>869688.89102564135</v>
      </c>
      <c r="AA223" s="272">
        <f t="shared" ca="1" si="146"/>
        <v>0.22</v>
      </c>
      <c r="AB223" s="16">
        <f t="shared" ca="1" si="130"/>
        <v>11375.595145674655</v>
      </c>
      <c r="AC223" s="16">
        <f t="shared" ca="1" si="131"/>
        <v>11375.595145674681</v>
      </c>
      <c r="AD223" s="197"/>
      <c r="AE223" s="274">
        <f t="shared" ca="1" si="132"/>
        <v>1.6821425527395739E-3</v>
      </c>
      <c r="AF223" s="166">
        <f t="shared" ca="1" si="133"/>
        <v>0.70812858585416283</v>
      </c>
      <c r="AG223" s="16">
        <f t="shared" ca="1" si="134"/>
        <v>8055.3841037560733</v>
      </c>
      <c r="AH223" s="16">
        <f t="shared" ca="1" si="135"/>
        <v>8055.3841037560915</v>
      </c>
      <c r="AI223" s="168">
        <f t="shared" ca="1" si="136"/>
        <v>49</v>
      </c>
      <c r="AJ223" s="158">
        <f t="shared" ca="1" si="137"/>
        <v>49</v>
      </c>
      <c r="AK223" s="16">
        <f t="shared" ca="1" si="138"/>
        <v>-12269.974956650618</v>
      </c>
      <c r="AL223" s="168">
        <f t="shared" ca="1" si="147"/>
        <v>12220.974956650618</v>
      </c>
      <c r="AM223" s="158">
        <f t="shared" ca="1" si="148"/>
        <v>12258.511057371772</v>
      </c>
      <c r="AN223" s="158">
        <f t="shared" ca="1" si="149"/>
        <v>10394.369952518824</v>
      </c>
      <c r="AO223" s="169">
        <f t="shared" ca="1" si="150"/>
        <v>107</v>
      </c>
      <c r="AP223" s="169">
        <f t="shared" ca="1" si="151"/>
        <v>87</v>
      </c>
      <c r="AQ223" s="158">
        <f t="shared" ca="1" si="152"/>
        <v>0</v>
      </c>
      <c r="AR223" s="158">
        <f t="shared" ca="1" si="153"/>
        <v>37.536100721154071</v>
      </c>
      <c r="AS223" s="170"/>
      <c r="AT223" s="159"/>
      <c r="AU223" s="159"/>
    </row>
    <row r="224" spans="1:47" x14ac:dyDescent="0.6">
      <c r="A224" s="171" t="str">
        <f t="shared" ca="1" si="119"/>
        <v>Mars 2042</v>
      </c>
      <c r="B224" s="191">
        <v>0</v>
      </c>
      <c r="C224" s="269">
        <f t="shared" ca="1" si="139"/>
        <v>5.4899999999999997E-2</v>
      </c>
      <c r="D224" s="173" t="str">
        <f t="shared" ca="1" si="140"/>
        <v/>
      </c>
      <c r="E224" s="174" t="str">
        <f t="shared" ca="1" si="141"/>
        <v/>
      </c>
      <c r="F224" s="175">
        <f t="shared" ca="1" si="142"/>
        <v>49</v>
      </c>
      <c r="G224" s="10">
        <v>207</v>
      </c>
      <c r="H224" s="176">
        <f t="shared" ca="1" si="143"/>
        <v>106</v>
      </c>
      <c r="I224" s="12">
        <f t="shared" ca="1" si="144"/>
        <v>12183.438855929464</v>
      </c>
      <c r="J224" s="12">
        <f t="shared" ca="1" si="120"/>
        <v>3978.826676442317</v>
      </c>
      <c r="K224" s="177">
        <f t="shared" ca="1" si="121"/>
        <v>8204.6121794871469</v>
      </c>
      <c r="L224" s="177">
        <f t="shared" ca="1" si="122"/>
        <v>861484.27884615597</v>
      </c>
      <c r="M224" s="11">
        <f t="shared" ca="1" si="123"/>
        <v>-7.73070496506989E-12</v>
      </c>
      <c r="N224" s="12">
        <f ca="1">IF(Y224=0, 0, ROUND(SUM(Y$17:Y224)-SUM(J$17:J224),0))</f>
        <v>0</v>
      </c>
      <c r="O224" s="12" t="str">
        <f t="shared" ca="1" si="124"/>
        <v/>
      </c>
      <c r="P224" s="12" t="str">
        <f t="shared" ca="1" si="125"/>
        <v/>
      </c>
      <c r="Q224" s="178">
        <f t="shared" ca="1" si="154"/>
        <v>5000000</v>
      </c>
      <c r="R224" s="178">
        <f t="shared" ca="1" si="154"/>
        <v>0</v>
      </c>
      <c r="S224" s="178">
        <f t="shared" ca="1" si="154"/>
        <v>358488</v>
      </c>
      <c r="T224" s="178">
        <f t="shared" ca="1" si="154"/>
        <v>628000</v>
      </c>
      <c r="U224" s="179" t="str">
        <f t="shared" ca="1" si="126"/>
        <v/>
      </c>
      <c r="V224" s="180">
        <f t="shared" ca="1" si="118"/>
        <v>1.95</v>
      </c>
      <c r="W224" s="181">
        <f t="shared" ca="1" si="145"/>
        <v>106</v>
      </c>
      <c r="X224" s="177">
        <f t="shared" ca="1" si="127"/>
        <v>12183.438855929489</v>
      </c>
      <c r="Y224" s="12">
        <f t="shared" ca="1" si="128"/>
        <v>3978.8266764423092</v>
      </c>
      <c r="Z224" s="182">
        <f t="shared" ca="1" si="129"/>
        <v>861484.27884615411</v>
      </c>
      <c r="AA224" s="271">
        <f t="shared" ca="1" si="146"/>
        <v>0.22</v>
      </c>
      <c r="AB224" s="12">
        <f t="shared" ca="1" si="130"/>
        <v>11346.316987112154</v>
      </c>
      <c r="AC224" s="12">
        <f t="shared" ca="1" si="131"/>
        <v>11346.316987112181</v>
      </c>
      <c r="AD224" s="199"/>
      <c r="AE224" s="273">
        <f t="shared" ca="1" si="132"/>
        <v>1.6821425527395739E-3</v>
      </c>
      <c r="AF224" s="184">
        <f t="shared" ca="1" si="133"/>
        <v>0.7069374126270862</v>
      </c>
      <c r="AG224" s="12">
        <f t="shared" ca="1" si="134"/>
        <v>8021.1359737158218</v>
      </c>
      <c r="AH224" s="12">
        <f t="shared" ca="1" si="135"/>
        <v>8021.1359737158409</v>
      </c>
      <c r="AI224" s="185">
        <f t="shared" ca="1" si="136"/>
        <v>49</v>
      </c>
      <c r="AJ224" s="177">
        <f t="shared" ca="1" si="137"/>
        <v>49</v>
      </c>
      <c r="AK224" s="12">
        <f t="shared" ca="1" si="138"/>
        <v>-12232.438855929464</v>
      </c>
      <c r="AL224" s="185">
        <f t="shared" ca="1" si="147"/>
        <v>12183.438855929464</v>
      </c>
      <c r="AM224" s="177">
        <f t="shared" ca="1" si="148"/>
        <v>12220.974956650618</v>
      </c>
      <c r="AN224" s="177">
        <f t="shared" ca="1" si="149"/>
        <v>10372.584444106682</v>
      </c>
      <c r="AO224" s="196">
        <f t="shared" ca="1" si="150"/>
        <v>106</v>
      </c>
      <c r="AP224" s="196">
        <f t="shared" ca="1" si="151"/>
        <v>87</v>
      </c>
      <c r="AQ224" s="177">
        <f t="shared" ca="1" si="152"/>
        <v>0</v>
      </c>
      <c r="AR224" s="177">
        <f t="shared" ca="1" si="153"/>
        <v>37.536100721154071</v>
      </c>
      <c r="AS224" s="189"/>
      <c r="AT224" s="190"/>
      <c r="AU224" s="190"/>
    </row>
    <row r="225" spans="1:47" x14ac:dyDescent="0.6">
      <c r="A225" s="152" t="str">
        <f t="shared" ca="1" si="119"/>
        <v>April 2042</v>
      </c>
      <c r="B225" s="191">
        <v>0</v>
      </c>
      <c r="C225" s="270">
        <f t="shared" ca="1" si="139"/>
        <v>5.4899999999999997E-2</v>
      </c>
      <c r="D225" s="192" t="str">
        <f t="shared" ca="1" si="140"/>
        <v/>
      </c>
      <c r="E225" s="193" t="str">
        <f t="shared" ca="1" si="141"/>
        <v/>
      </c>
      <c r="F225" s="194">
        <f t="shared" ca="1" si="142"/>
        <v>49</v>
      </c>
      <c r="G225" s="14">
        <v>208</v>
      </c>
      <c r="H225" s="157">
        <f t="shared" ca="1" si="143"/>
        <v>105</v>
      </c>
      <c r="I225" s="16">
        <f t="shared" ca="1" si="144"/>
        <v>12145.90275520831</v>
      </c>
      <c r="J225" s="16">
        <f t="shared" ca="1" si="120"/>
        <v>3941.2905757211633</v>
      </c>
      <c r="K225" s="158">
        <f t="shared" ca="1" si="121"/>
        <v>8204.6121794871469</v>
      </c>
      <c r="L225" s="158">
        <f t="shared" ca="1" si="122"/>
        <v>853279.66666666884</v>
      </c>
      <c r="M225" s="15">
        <f t="shared" ca="1" si="123"/>
        <v>-8.1854523159563541E-12</v>
      </c>
      <c r="N225" s="16">
        <f ca="1">IF(Y225=0, 0, ROUND(SUM(Y$17:Y225)-SUM(J$17:J225),0))</f>
        <v>0</v>
      </c>
      <c r="O225" s="16" t="str">
        <f t="shared" ca="1" si="124"/>
        <v/>
      </c>
      <c r="P225" s="16">
        <f t="shared" ca="1" si="125"/>
        <v>4140000</v>
      </c>
      <c r="Q225" s="160">
        <f t="shared" ca="1" si="154"/>
        <v>5000000</v>
      </c>
      <c r="R225" s="160">
        <f t="shared" ca="1" si="154"/>
        <v>0</v>
      </c>
      <c r="S225" s="160">
        <f t="shared" ca="1" si="154"/>
        <v>358488</v>
      </c>
      <c r="T225" s="160">
        <f t="shared" ca="1" si="154"/>
        <v>628000</v>
      </c>
      <c r="U225" s="161" t="str">
        <f t="shared" ca="1" si="126"/>
        <v/>
      </c>
      <c r="V225" s="162">
        <f t="shared" ca="1" si="118"/>
        <v>1.93</v>
      </c>
      <c r="W225" s="195">
        <f t="shared" ca="1" si="145"/>
        <v>105</v>
      </c>
      <c r="X225" s="158">
        <f t="shared" ca="1" si="127"/>
        <v>12145.902755208335</v>
      </c>
      <c r="Y225" s="16">
        <f t="shared" ca="1" si="128"/>
        <v>3941.2905757211552</v>
      </c>
      <c r="Z225" s="164">
        <f t="shared" ca="1" si="129"/>
        <v>853279.66666666698</v>
      </c>
      <c r="AA225" s="272">
        <f t="shared" ca="1" si="146"/>
        <v>0.22</v>
      </c>
      <c r="AB225" s="16">
        <f t="shared" ca="1" si="130"/>
        <v>11317.038828549654</v>
      </c>
      <c r="AC225" s="16">
        <f t="shared" ca="1" si="131"/>
        <v>11317.038828549681</v>
      </c>
      <c r="AD225" s="197"/>
      <c r="AE225" s="274">
        <f t="shared" ca="1" si="132"/>
        <v>1.6821425527395739E-3</v>
      </c>
      <c r="AF225" s="166">
        <f t="shared" ca="1" si="133"/>
        <v>0.70574824312318252</v>
      </c>
      <c r="AG225" s="16">
        <f t="shared" ca="1" si="134"/>
        <v>7986.9802706057581</v>
      </c>
      <c r="AH225" s="16">
        <f t="shared" ca="1" si="135"/>
        <v>7986.9802706057772</v>
      </c>
      <c r="AI225" s="168">
        <f t="shared" ca="1" si="136"/>
        <v>49</v>
      </c>
      <c r="AJ225" s="158">
        <f t="shared" ca="1" si="137"/>
        <v>49</v>
      </c>
      <c r="AK225" s="16">
        <f t="shared" ca="1" si="138"/>
        <v>-12194.90275520831</v>
      </c>
      <c r="AL225" s="168">
        <f t="shared" ca="1" si="147"/>
        <v>12145.90275520831</v>
      </c>
      <c r="AM225" s="158">
        <f t="shared" ca="1" si="148"/>
        <v>12183.438855929464</v>
      </c>
      <c r="AN225" s="158">
        <f t="shared" ca="1" si="149"/>
        <v>10350.826832394303</v>
      </c>
      <c r="AO225" s="169">
        <f t="shared" ca="1" si="150"/>
        <v>105</v>
      </c>
      <c r="AP225" s="169">
        <f t="shared" ca="1" si="151"/>
        <v>86</v>
      </c>
      <c r="AQ225" s="158">
        <f t="shared" ca="1" si="152"/>
        <v>0</v>
      </c>
      <c r="AR225" s="158">
        <f t="shared" ca="1" si="153"/>
        <v>37.536100721154071</v>
      </c>
      <c r="AS225" s="170"/>
      <c r="AT225" s="159"/>
      <c r="AU225" s="159"/>
    </row>
    <row r="226" spans="1:47" x14ac:dyDescent="0.6">
      <c r="A226" s="171" t="str">
        <f t="shared" ca="1" si="119"/>
        <v>Mai 2042</v>
      </c>
      <c r="B226" s="191">
        <v>0</v>
      </c>
      <c r="C226" s="269">
        <f t="shared" ca="1" si="139"/>
        <v>5.4899999999999997E-2</v>
      </c>
      <c r="D226" s="173" t="str">
        <f t="shared" ca="1" si="140"/>
        <v/>
      </c>
      <c r="E226" s="174" t="str">
        <f t="shared" ca="1" si="141"/>
        <v/>
      </c>
      <c r="F226" s="175">
        <f t="shared" ca="1" si="142"/>
        <v>49</v>
      </c>
      <c r="G226" s="10">
        <v>209</v>
      </c>
      <c r="H226" s="176">
        <f t="shared" ca="1" si="143"/>
        <v>104</v>
      </c>
      <c r="I226" s="12">
        <f t="shared" ca="1" si="144"/>
        <v>12108.366654487158</v>
      </c>
      <c r="J226" s="12">
        <f t="shared" ca="1" si="120"/>
        <v>3903.7544750000102</v>
      </c>
      <c r="K226" s="177">
        <f t="shared" ca="1" si="121"/>
        <v>8204.6121794871469</v>
      </c>
      <c r="L226" s="177">
        <f t="shared" ca="1" si="122"/>
        <v>845075.05448718171</v>
      </c>
      <c r="M226" s="11">
        <f t="shared" ca="1" si="123"/>
        <v>-9.0949470177292824E-12</v>
      </c>
      <c r="N226" s="12">
        <f ca="1">IF(Y226=0, 0, ROUND(SUM(Y$17:Y226)-SUM(J$17:J226),0))</f>
        <v>0</v>
      </c>
      <c r="O226" s="12" t="str">
        <f t="shared" ca="1" si="124"/>
        <v/>
      </c>
      <c r="P226" s="12">
        <f t="shared" ca="1" si="125"/>
        <v>4150000</v>
      </c>
      <c r="Q226" s="178">
        <f t="shared" ca="1" si="154"/>
        <v>5000000</v>
      </c>
      <c r="R226" s="178">
        <f t="shared" ca="1" si="154"/>
        <v>0</v>
      </c>
      <c r="S226" s="178">
        <f t="shared" ca="1" si="154"/>
        <v>358488</v>
      </c>
      <c r="T226" s="178">
        <f t="shared" ca="1" si="154"/>
        <v>628000</v>
      </c>
      <c r="U226" s="179" t="str">
        <f t="shared" ca="1" si="126"/>
        <v/>
      </c>
      <c r="V226" s="180">
        <f t="shared" ca="1" si="118"/>
        <v>1.92</v>
      </c>
      <c r="W226" s="181">
        <f t="shared" ca="1" si="145"/>
        <v>104</v>
      </c>
      <c r="X226" s="177">
        <f t="shared" ca="1" si="127"/>
        <v>12108.366654487181</v>
      </c>
      <c r="Y226" s="12">
        <f t="shared" ca="1" si="128"/>
        <v>3903.7544750000011</v>
      </c>
      <c r="Z226" s="182">
        <f t="shared" ca="1" si="129"/>
        <v>845075.05448717973</v>
      </c>
      <c r="AA226" s="271">
        <f t="shared" ca="1" si="146"/>
        <v>0.22</v>
      </c>
      <c r="AB226" s="12">
        <f t="shared" ca="1" si="130"/>
        <v>11287.760669987154</v>
      </c>
      <c r="AC226" s="12">
        <f t="shared" ca="1" si="131"/>
        <v>11287.760669987181</v>
      </c>
      <c r="AD226" s="199"/>
      <c r="AE226" s="273">
        <f t="shared" ca="1" si="132"/>
        <v>1.6821425527395739E-3</v>
      </c>
      <c r="AF226" s="184">
        <f t="shared" ca="1" si="133"/>
        <v>0.70456107397190382</v>
      </c>
      <c r="AG226" s="12">
        <f t="shared" ca="1" si="134"/>
        <v>7952.9167803839655</v>
      </c>
      <c r="AH226" s="12">
        <f t="shared" ca="1" si="135"/>
        <v>7952.9167803839846</v>
      </c>
      <c r="AI226" s="185">
        <f t="shared" ca="1" si="136"/>
        <v>49</v>
      </c>
      <c r="AJ226" s="177">
        <f t="shared" ca="1" si="137"/>
        <v>49</v>
      </c>
      <c r="AK226" s="12">
        <f t="shared" ca="1" si="138"/>
        <v>-12157.366654487158</v>
      </c>
      <c r="AL226" s="185">
        <f t="shared" ca="1" si="147"/>
        <v>12108.366654487158</v>
      </c>
      <c r="AM226" s="177">
        <f t="shared" ca="1" si="148"/>
        <v>12145.90275520831</v>
      </c>
      <c r="AN226" s="177">
        <f t="shared" ca="1" si="149"/>
        <v>10329.097129594546</v>
      </c>
      <c r="AO226" s="196">
        <f t="shared" ca="1" si="150"/>
        <v>104</v>
      </c>
      <c r="AP226" s="196">
        <f t="shared" ca="1" si="151"/>
        <v>85</v>
      </c>
      <c r="AQ226" s="177">
        <f t="shared" ca="1" si="152"/>
        <v>0</v>
      </c>
      <c r="AR226" s="177">
        <f t="shared" ca="1" si="153"/>
        <v>37.536100721152252</v>
      </c>
      <c r="AS226" s="189"/>
      <c r="AT226" s="190"/>
      <c r="AU226" s="190"/>
    </row>
    <row r="227" spans="1:47" x14ac:dyDescent="0.6">
      <c r="A227" s="152" t="str">
        <f t="shared" ca="1" si="119"/>
        <v>Juni 2042</v>
      </c>
      <c r="B227" s="191">
        <v>0</v>
      </c>
      <c r="C227" s="270">
        <f t="shared" ca="1" si="139"/>
        <v>5.4899999999999997E-2</v>
      </c>
      <c r="D227" s="192" t="str">
        <f t="shared" ca="1" si="140"/>
        <v/>
      </c>
      <c r="E227" s="193" t="str">
        <f t="shared" ca="1" si="141"/>
        <v/>
      </c>
      <c r="F227" s="194">
        <f t="shared" ca="1" si="142"/>
        <v>49</v>
      </c>
      <c r="G227" s="14">
        <v>210</v>
      </c>
      <c r="H227" s="157">
        <f t="shared" ca="1" si="143"/>
        <v>103</v>
      </c>
      <c r="I227" s="16">
        <f t="shared" ca="1" si="144"/>
        <v>12070.830553766004</v>
      </c>
      <c r="J227" s="16">
        <f t="shared" ca="1" si="120"/>
        <v>3866.2183742788561</v>
      </c>
      <c r="K227" s="158">
        <f t="shared" ca="1" si="121"/>
        <v>8204.6121794871469</v>
      </c>
      <c r="L227" s="158">
        <f t="shared" ca="1" si="122"/>
        <v>836870.44230769458</v>
      </c>
      <c r="M227" s="15">
        <f t="shared" ca="1" si="123"/>
        <v>-9.0949470177292824E-12</v>
      </c>
      <c r="N227" s="16">
        <f ca="1">IF(Y227=0, 0, ROUND(SUM(Y$17:Y227)-SUM(J$17:J227),0))</f>
        <v>0</v>
      </c>
      <c r="O227" s="16" t="str">
        <f t="shared" ca="1" si="124"/>
        <v/>
      </c>
      <c r="P227" s="16">
        <f t="shared" ca="1" si="125"/>
        <v>4160000</v>
      </c>
      <c r="Q227" s="160">
        <f t="shared" ca="1" si="154"/>
        <v>5000000</v>
      </c>
      <c r="R227" s="160">
        <f t="shared" ca="1" si="154"/>
        <v>0</v>
      </c>
      <c r="S227" s="160">
        <f t="shared" ca="1" si="154"/>
        <v>358488</v>
      </c>
      <c r="T227" s="160">
        <f t="shared" ca="1" si="154"/>
        <v>628000</v>
      </c>
      <c r="U227" s="161" t="str">
        <f t="shared" ca="1" si="126"/>
        <v/>
      </c>
      <c r="V227" s="162">
        <f t="shared" ca="1" si="118"/>
        <v>1.91</v>
      </c>
      <c r="W227" s="195">
        <f t="shared" ca="1" si="145"/>
        <v>103</v>
      </c>
      <c r="X227" s="158">
        <f t="shared" ca="1" si="127"/>
        <v>12070.830553766027</v>
      </c>
      <c r="Y227" s="16">
        <f t="shared" ca="1" si="128"/>
        <v>3866.218374278847</v>
      </c>
      <c r="Z227" s="164">
        <f t="shared" ca="1" si="129"/>
        <v>836870.4423076926</v>
      </c>
      <c r="AA227" s="272">
        <f t="shared" ca="1" si="146"/>
        <v>0.22</v>
      </c>
      <c r="AB227" s="16">
        <f t="shared" ca="1" si="130"/>
        <v>11258.482511424654</v>
      </c>
      <c r="AC227" s="16">
        <f t="shared" ca="1" si="131"/>
        <v>11258.482511424681</v>
      </c>
      <c r="AD227" s="197"/>
      <c r="AE227" s="274">
        <f t="shared" ca="1" si="132"/>
        <v>1.6821425527395739E-3</v>
      </c>
      <c r="AF227" s="166">
        <f t="shared" ca="1" si="133"/>
        <v>0.70337590180837173</v>
      </c>
      <c r="AG227" s="16">
        <f t="shared" ca="1" si="134"/>
        <v>7918.9452894670976</v>
      </c>
      <c r="AH227" s="16">
        <f t="shared" ca="1" si="135"/>
        <v>7918.9452894671167</v>
      </c>
      <c r="AI227" s="168">
        <f t="shared" ca="1" si="136"/>
        <v>49</v>
      </c>
      <c r="AJ227" s="158">
        <f t="shared" ca="1" si="137"/>
        <v>49</v>
      </c>
      <c r="AK227" s="16">
        <f t="shared" ca="1" si="138"/>
        <v>-12119.830553766004</v>
      </c>
      <c r="AL227" s="168">
        <f t="shared" ca="1" si="147"/>
        <v>12070.830553766004</v>
      </c>
      <c r="AM227" s="158">
        <f t="shared" ca="1" si="148"/>
        <v>12108.366654487158</v>
      </c>
      <c r="AN227" s="158">
        <f t="shared" ca="1" si="149"/>
        <v>10307.395347810787</v>
      </c>
      <c r="AO227" s="169">
        <f t="shared" ca="1" si="150"/>
        <v>103</v>
      </c>
      <c r="AP227" s="169">
        <f t="shared" ca="1" si="151"/>
        <v>85</v>
      </c>
      <c r="AQ227" s="158">
        <f t="shared" ca="1" si="152"/>
        <v>0</v>
      </c>
      <c r="AR227" s="158">
        <f t="shared" ca="1" si="153"/>
        <v>37.536100721154071</v>
      </c>
      <c r="AS227" s="170"/>
      <c r="AT227" s="159"/>
      <c r="AU227" s="159"/>
    </row>
    <row r="228" spans="1:47" x14ac:dyDescent="0.6">
      <c r="A228" s="171" t="str">
        <f t="shared" ca="1" si="119"/>
        <v>Juli 2042</v>
      </c>
      <c r="B228" s="191">
        <v>0</v>
      </c>
      <c r="C228" s="269">
        <f t="shared" ca="1" si="139"/>
        <v>5.4899999999999997E-2</v>
      </c>
      <c r="D228" s="173" t="str">
        <f t="shared" ca="1" si="140"/>
        <v/>
      </c>
      <c r="E228" s="174" t="str">
        <f t="shared" ca="1" si="141"/>
        <v/>
      </c>
      <c r="F228" s="175">
        <f t="shared" ca="1" si="142"/>
        <v>49</v>
      </c>
      <c r="G228" s="10">
        <v>211</v>
      </c>
      <c r="H228" s="176">
        <f t="shared" ca="1" si="143"/>
        <v>102</v>
      </c>
      <c r="I228" s="12">
        <f t="shared" ca="1" si="144"/>
        <v>12033.294453044849</v>
      </c>
      <c r="J228" s="12">
        <f t="shared" ca="1" si="120"/>
        <v>3828.6822735577025</v>
      </c>
      <c r="K228" s="177">
        <f t="shared" ca="1" si="121"/>
        <v>8204.6121794871469</v>
      </c>
      <c r="L228" s="177">
        <f t="shared" ca="1" si="122"/>
        <v>828665.83012820745</v>
      </c>
      <c r="M228" s="11">
        <f t="shared" ca="1" si="123"/>
        <v>-9.0949470177292824E-12</v>
      </c>
      <c r="N228" s="12">
        <f ca="1">IF(Y228=0, 0, ROUND(SUM(Y$17:Y228)-SUM(J$17:J228),0))</f>
        <v>0</v>
      </c>
      <c r="O228" s="12" t="str">
        <f t="shared" ca="1" si="124"/>
        <v/>
      </c>
      <c r="P228" s="12">
        <f t="shared" ca="1" si="125"/>
        <v>4170000</v>
      </c>
      <c r="Q228" s="178">
        <f t="shared" ca="1" si="154"/>
        <v>5000000</v>
      </c>
      <c r="R228" s="178">
        <f t="shared" ca="1" si="154"/>
        <v>0</v>
      </c>
      <c r="S228" s="178">
        <f t="shared" ca="1" si="154"/>
        <v>358488</v>
      </c>
      <c r="T228" s="178">
        <f t="shared" ca="1" si="154"/>
        <v>628000</v>
      </c>
      <c r="U228" s="179" t="str">
        <f t="shared" ca="1" si="126"/>
        <v/>
      </c>
      <c r="V228" s="180">
        <f t="shared" ca="1" si="118"/>
        <v>1.9</v>
      </c>
      <c r="W228" s="181">
        <f t="shared" ca="1" si="145"/>
        <v>102</v>
      </c>
      <c r="X228" s="177">
        <f t="shared" ca="1" si="127"/>
        <v>12033.294453044873</v>
      </c>
      <c r="Y228" s="12">
        <f t="shared" ca="1" si="128"/>
        <v>3828.6822735576934</v>
      </c>
      <c r="Z228" s="182">
        <f t="shared" ca="1" si="129"/>
        <v>828665.83012820536</v>
      </c>
      <c r="AA228" s="271">
        <f t="shared" ca="1" si="146"/>
        <v>0.22</v>
      </c>
      <c r="AB228" s="12">
        <f t="shared" ca="1" si="130"/>
        <v>11229.204352862154</v>
      </c>
      <c r="AC228" s="12">
        <f t="shared" ca="1" si="131"/>
        <v>11229.20435286218</v>
      </c>
      <c r="AD228" s="199"/>
      <c r="AE228" s="273">
        <f t="shared" ca="1" si="132"/>
        <v>1.6821425527395739E-3</v>
      </c>
      <c r="AF228" s="184">
        <f t="shared" ca="1" si="133"/>
        <v>0.70219272327336835</v>
      </c>
      <c r="AG228" s="12">
        <f t="shared" ca="1" si="134"/>
        <v>7885.0655847294383</v>
      </c>
      <c r="AH228" s="12">
        <f t="shared" ca="1" si="135"/>
        <v>7885.0655847294556</v>
      </c>
      <c r="AI228" s="185">
        <f t="shared" ca="1" si="136"/>
        <v>49</v>
      </c>
      <c r="AJ228" s="177">
        <f t="shared" ca="1" si="137"/>
        <v>49</v>
      </c>
      <c r="AK228" s="12">
        <f t="shared" ca="1" si="138"/>
        <v>-12082.294453044849</v>
      </c>
      <c r="AL228" s="185">
        <f t="shared" ca="1" si="147"/>
        <v>12033.294453044849</v>
      </c>
      <c r="AM228" s="177">
        <f t="shared" ca="1" si="148"/>
        <v>12070.830553766004</v>
      </c>
      <c r="AN228" s="177">
        <f t="shared" ca="1" si="149"/>
        <v>10285.721499036734</v>
      </c>
      <c r="AO228" s="196">
        <f t="shared" ca="1" si="150"/>
        <v>102</v>
      </c>
      <c r="AP228" s="196">
        <f t="shared" ca="1" si="151"/>
        <v>84</v>
      </c>
      <c r="AQ228" s="177">
        <f t="shared" ca="1" si="152"/>
        <v>0</v>
      </c>
      <c r="AR228" s="177">
        <f t="shared" ca="1" si="153"/>
        <v>37.536100721154071</v>
      </c>
      <c r="AS228" s="189"/>
      <c r="AT228" s="190"/>
      <c r="AU228" s="190"/>
    </row>
    <row r="229" spans="1:47" x14ac:dyDescent="0.6">
      <c r="A229" s="152" t="str">
        <f t="shared" ca="1" si="119"/>
        <v>August 2042</v>
      </c>
      <c r="B229" s="191">
        <v>0</v>
      </c>
      <c r="C229" s="270">
        <f t="shared" ca="1" si="139"/>
        <v>5.4899999999999997E-2</v>
      </c>
      <c r="D229" s="192" t="str">
        <f t="shared" ca="1" si="140"/>
        <v/>
      </c>
      <c r="E229" s="193" t="str">
        <f t="shared" ca="1" si="141"/>
        <v/>
      </c>
      <c r="F229" s="194">
        <f t="shared" ca="1" si="142"/>
        <v>49</v>
      </c>
      <c r="G229" s="14">
        <v>212</v>
      </c>
      <c r="H229" s="157">
        <f t="shared" ca="1" si="143"/>
        <v>101</v>
      </c>
      <c r="I229" s="16">
        <f t="shared" ca="1" si="144"/>
        <v>11995.758352323695</v>
      </c>
      <c r="J229" s="16">
        <f t="shared" ca="1" si="120"/>
        <v>3791.1461728365489</v>
      </c>
      <c r="K229" s="158">
        <f t="shared" ca="1" si="121"/>
        <v>8204.6121794871469</v>
      </c>
      <c r="L229" s="158">
        <f t="shared" ca="1" si="122"/>
        <v>820461.21794872032</v>
      </c>
      <c r="M229" s="15">
        <f t="shared" ca="1" si="123"/>
        <v>-9.5496943686157465E-12</v>
      </c>
      <c r="N229" s="16">
        <f ca="1">IF(Y229=0, 0, ROUND(SUM(Y$17:Y229)-SUM(J$17:J229),0))</f>
        <v>0</v>
      </c>
      <c r="O229" s="16" t="str">
        <f t="shared" ca="1" si="124"/>
        <v/>
      </c>
      <c r="P229" s="16" t="str">
        <f t="shared" ca="1" si="125"/>
        <v/>
      </c>
      <c r="Q229" s="160">
        <f t="shared" ca="1" si="154"/>
        <v>5000000</v>
      </c>
      <c r="R229" s="160">
        <f t="shared" ca="1" si="154"/>
        <v>0</v>
      </c>
      <c r="S229" s="160">
        <f t="shared" ca="1" si="154"/>
        <v>358488</v>
      </c>
      <c r="T229" s="160">
        <f t="shared" ca="1" si="154"/>
        <v>628000</v>
      </c>
      <c r="U229" s="161" t="str">
        <f t="shared" ca="1" si="126"/>
        <v/>
      </c>
      <c r="V229" s="162">
        <f t="shared" ca="1" si="118"/>
        <v>1.8800000000000001</v>
      </c>
      <c r="W229" s="195">
        <f t="shared" ca="1" si="145"/>
        <v>101</v>
      </c>
      <c r="X229" s="158">
        <f t="shared" ca="1" si="127"/>
        <v>11995.758352323719</v>
      </c>
      <c r="Y229" s="16">
        <f t="shared" ca="1" si="128"/>
        <v>3791.1461728365393</v>
      </c>
      <c r="Z229" s="164">
        <f t="shared" ca="1" si="129"/>
        <v>820461.21794871823</v>
      </c>
      <c r="AA229" s="272">
        <f t="shared" ca="1" si="146"/>
        <v>0.22</v>
      </c>
      <c r="AB229" s="16">
        <f t="shared" ca="1" si="130"/>
        <v>11199.926194299655</v>
      </c>
      <c r="AC229" s="16">
        <f t="shared" ca="1" si="131"/>
        <v>11199.92619429968</v>
      </c>
      <c r="AD229" s="197"/>
      <c r="AE229" s="274">
        <f t="shared" ca="1" si="132"/>
        <v>1.6821425527395739E-3</v>
      </c>
      <c r="AF229" s="166">
        <f t="shared" ca="1" si="133"/>
        <v>0.70101153501332614</v>
      </c>
      <c r="AG229" s="16">
        <f t="shared" ca="1" si="134"/>
        <v>7851.2774535019607</v>
      </c>
      <c r="AH229" s="16">
        <f t="shared" ca="1" si="135"/>
        <v>7851.2774535019789</v>
      </c>
      <c r="AI229" s="168">
        <f t="shared" ca="1" si="136"/>
        <v>49</v>
      </c>
      <c r="AJ229" s="158">
        <f t="shared" ca="1" si="137"/>
        <v>49</v>
      </c>
      <c r="AK229" s="16">
        <f t="shared" ca="1" si="138"/>
        <v>-12044.758352323695</v>
      </c>
      <c r="AL229" s="168">
        <f t="shared" ca="1" si="147"/>
        <v>11995.758352323695</v>
      </c>
      <c r="AM229" s="158">
        <f t="shared" ca="1" si="148"/>
        <v>12033.294453044849</v>
      </c>
      <c r="AN229" s="158">
        <f t="shared" ca="1" si="149"/>
        <v>10264.075595156259</v>
      </c>
      <c r="AO229" s="169">
        <f t="shared" ca="1" si="150"/>
        <v>101</v>
      </c>
      <c r="AP229" s="169">
        <f t="shared" ca="1" si="151"/>
        <v>83</v>
      </c>
      <c r="AQ229" s="158">
        <f t="shared" ca="1" si="152"/>
        <v>0</v>
      </c>
      <c r="AR229" s="158">
        <f t="shared" ca="1" si="153"/>
        <v>37.536100721154071</v>
      </c>
      <c r="AS229" s="170"/>
      <c r="AT229" s="159"/>
      <c r="AU229" s="159"/>
    </row>
    <row r="230" spans="1:47" x14ac:dyDescent="0.6">
      <c r="A230" s="171" t="str">
        <f t="shared" ca="1" si="119"/>
        <v>September 2042</v>
      </c>
      <c r="B230" s="191">
        <v>0</v>
      </c>
      <c r="C230" s="269">
        <f t="shared" ca="1" si="139"/>
        <v>5.4899999999999997E-2</v>
      </c>
      <c r="D230" s="173" t="str">
        <f t="shared" ca="1" si="140"/>
        <v/>
      </c>
      <c r="E230" s="174" t="str">
        <f t="shared" ca="1" si="141"/>
        <v/>
      </c>
      <c r="F230" s="175">
        <f t="shared" ca="1" si="142"/>
        <v>49</v>
      </c>
      <c r="G230" s="10">
        <v>213</v>
      </c>
      <c r="H230" s="176">
        <f t="shared" ca="1" si="143"/>
        <v>100</v>
      </c>
      <c r="I230" s="12">
        <f t="shared" ca="1" si="144"/>
        <v>11958.222251602543</v>
      </c>
      <c r="J230" s="12">
        <f t="shared" ca="1" si="120"/>
        <v>3753.6100721153957</v>
      </c>
      <c r="K230" s="177">
        <f t="shared" ca="1" si="121"/>
        <v>8204.6121794871469</v>
      </c>
      <c r="L230" s="177">
        <f t="shared" ca="1" si="122"/>
        <v>812256.6057692332</v>
      </c>
      <c r="M230" s="11">
        <f t="shared" ca="1" si="123"/>
        <v>-1.0004441719502211E-11</v>
      </c>
      <c r="N230" s="12">
        <f ca="1">IF(Y230=0, 0, ROUND(SUM(Y$17:Y230)-SUM(J$17:J230),0))</f>
        <v>0</v>
      </c>
      <c r="O230" s="12" t="str">
        <f t="shared" ca="1" si="124"/>
        <v/>
      </c>
      <c r="P230" s="12">
        <f t="shared" ca="1" si="125"/>
        <v>4180000</v>
      </c>
      <c r="Q230" s="178">
        <f t="shared" ca="1" si="154"/>
        <v>5000000</v>
      </c>
      <c r="R230" s="178">
        <f t="shared" ca="1" si="154"/>
        <v>0</v>
      </c>
      <c r="S230" s="178">
        <f t="shared" ca="1" si="154"/>
        <v>358488</v>
      </c>
      <c r="T230" s="178">
        <f t="shared" ca="1" si="154"/>
        <v>628000</v>
      </c>
      <c r="U230" s="179" t="str">
        <f t="shared" ca="1" si="126"/>
        <v/>
      </c>
      <c r="V230" s="180">
        <f t="shared" ca="1" si="118"/>
        <v>1.87</v>
      </c>
      <c r="W230" s="181">
        <f t="shared" ca="1" si="145"/>
        <v>100</v>
      </c>
      <c r="X230" s="177">
        <f t="shared" ca="1" si="127"/>
        <v>11958.222251602565</v>
      </c>
      <c r="Y230" s="12">
        <f t="shared" ca="1" si="128"/>
        <v>3753.6100721153857</v>
      </c>
      <c r="Z230" s="182">
        <f t="shared" ca="1" si="129"/>
        <v>812256.6057692311</v>
      </c>
      <c r="AA230" s="271">
        <f t="shared" ca="1" si="146"/>
        <v>0.22</v>
      </c>
      <c r="AB230" s="12">
        <f t="shared" ca="1" si="130"/>
        <v>11170.648035737155</v>
      </c>
      <c r="AC230" s="12">
        <f t="shared" ca="1" si="131"/>
        <v>11170.64803573718</v>
      </c>
      <c r="AD230" s="199"/>
      <c r="AE230" s="273">
        <f t="shared" ca="1" si="132"/>
        <v>1.6821425527395739E-3</v>
      </c>
      <c r="AF230" s="184">
        <f t="shared" ca="1" si="133"/>
        <v>0.69983233368031894</v>
      </c>
      <c r="AG230" s="12">
        <f t="shared" ca="1" si="134"/>
        <v>7817.5806835714038</v>
      </c>
      <c r="AH230" s="12">
        <f t="shared" ca="1" si="135"/>
        <v>7817.580683571422</v>
      </c>
      <c r="AI230" s="185">
        <f t="shared" ca="1" si="136"/>
        <v>49</v>
      </c>
      <c r="AJ230" s="177">
        <f t="shared" ca="1" si="137"/>
        <v>49</v>
      </c>
      <c r="AK230" s="12">
        <f t="shared" ca="1" si="138"/>
        <v>-12007.222251602543</v>
      </c>
      <c r="AL230" s="185">
        <f t="shared" ca="1" si="147"/>
        <v>11958.222251602543</v>
      </c>
      <c r="AM230" s="177">
        <f t="shared" ca="1" si="148"/>
        <v>11995.758352323695</v>
      </c>
      <c r="AN230" s="177">
        <f t="shared" ca="1" si="149"/>
        <v>10242.457647943218</v>
      </c>
      <c r="AO230" s="196">
        <f t="shared" ca="1" si="150"/>
        <v>100</v>
      </c>
      <c r="AP230" s="196">
        <f t="shared" ca="1" si="151"/>
        <v>83</v>
      </c>
      <c r="AQ230" s="177">
        <f t="shared" ca="1" si="152"/>
        <v>0</v>
      </c>
      <c r="AR230" s="177">
        <f t="shared" ca="1" si="153"/>
        <v>37.536100721152252</v>
      </c>
      <c r="AS230" s="189"/>
      <c r="AT230" s="190"/>
      <c r="AU230" s="190"/>
    </row>
    <row r="231" spans="1:47" x14ac:dyDescent="0.6">
      <c r="A231" s="152" t="str">
        <f t="shared" ca="1" si="119"/>
        <v>Oktober 2042</v>
      </c>
      <c r="B231" s="191">
        <v>0</v>
      </c>
      <c r="C231" s="270">
        <f t="shared" ca="1" si="139"/>
        <v>5.4899999999999997E-2</v>
      </c>
      <c r="D231" s="192" t="str">
        <f t="shared" ca="1" si="140"/>
        <v/>
      </c>
      <c r="E231" s="193" t="str">
        <f t="shared" ca="1" si="141"/>
        <v/>
      </c>
      <c r="F231" s="194">
        <f t="shared" ca="1" si="142"/>
        <v>49</v>
      </c>
      <c r="G231" s="14">
        <v>214</v>
      </c>
      <c r="H231" s="157">
        <f t="shared" ca="1" si="143"/>
        <v>99</v>
      </c>
      <c r="I231" s="16">
        <f t="shared" ca="1" si="144"/>
        <v>11920.686150881389</v>
      </c>
      <c r="J231" s="16">
        <f t="shared" ca="1" si="120"/>
        <v>3716.0739713942417</v>
      </c>
      <c r="K231" s="158">
        <f t="shared" ca="1" si="121"/>
        <v>8204.6121794871469</v>
      </c>
      <c r="L231" s="158">
        <f t="shared" ca="1" si="122"/>
        <v>804051.99358974607</v>
      </c>
      <c r="M231" s="15">
        <f t="shared" ca="1" si="123"/>
        <v>-9.0949470177292824E-12</v>
      </c>
      <c r="N231" s="16">
        <f ca="1">IF(Y231=0, 0, ROUND(SUM(Y$17:Y231)-SUM(J$17:J231),0))</f>
        <v>0</v>
      </c>
      <c r="O231" s="16" t="str">
        <f t="shared" ca="1" si="124"/>
        <v/>
      </c>
      <c r="P231" s="16">
        <f t="shared" ca="1" si="125"/>
        <v>4190000</v>
      </c>
      <c r="Q231" s="160">
        <f t="shared" ca="1" si="154"/>
        <v>5000000</v>
      </c>
      <c r="R231" s="160">
        <f t="shared" ca="1" si="154"/>
        <v>0</v>
      </c>
      <c r="S231" s="160">
        <f t="shared" ca="1" si="154"/>
        <v>358488</v>
      </c>
      <c r="T231" s="160">
        <f t="shared" ca="1" si="154"/>
        <v>628000</v>
      </c>
      <c r="U231" s="161" t="str">
        <f t="shared" ca="1" si="126"/>
        <v/>
      </c>
      <c r="V231" s="162">
        <f t="shared" ca="1" si="118"/>
        <v>1.86</v>
      </c>
      <c r="W231" s="195">
        <f t="shared" ca="1" si="145"/>
        <v>99</v>
      </c>
      <c r="X231" s="158">
        <f t="shared" ca="1" si="127"/>
        <v>11920.686150881413</v>
      </c>
      <c r="Y231" s="16">
        <f t="shared" ca="1" si="128"/>
        <v>3716.0739713942326</v>
      </c>
      <c r="Z231" s="164">
        <f t="shared" ca="1" si="129"/>
        <v>804051.99358974386</v>
      </c>
      <c r="AA231" s="272">
        <f t="shared" ca="1" si="146"/>
        <v>0.22</v>
      </c>
      <c r="AB231" s="16">
        <f t="shared" ca="1" si="130"/>
        <v>11141.369877174655</v>
      </c>
      <c r="AC231" s="16">
        <f t="shared" ca="1" si="131"/>
        <v>11141.369877174682</v>
      </c>
      <c r="AD231" s="197"/>
      <c r="AE231" s="274">
        <f t="shared" ca="1" si="132"/>
        <v>1.6821425527395739E-3</v>
      </c>
      <c r="AF231" s="166">
        <f t="shared" ca="1" si="133"/>
        <v>0.69865511593205221</v>
      </c>
      <c r="AG231" s="16">
        <f t="shared" ca="1" si="134"/>
        <v>7783.9750631793331</v>
      </c>
      <c r="AH231" s="16">
        <f t="shared" ca="1" si="135"/>
        <v>7783.9750631793522</v>
      </c>
      <c r="AI231" s="168">
        <f t="shared" ca="1" si="136"/>
        <v>49</v>
      </c>
      <c r="AJ231" s="158">
        <f t="shared" ca="1" si="137"/>
        <v>49</v>
      </c>
      <c r="AK231" s="16">
        <f t="shared" ca="1" si="138"/>
        <v>-11969.686150881389</v>
      </c>
      <c r="AL231" s="168">
        <f t="shared" ca="1" si="147"/>
        <v>11920.686150881389</v>
      </c>
      <c r="AM231" s="158">
        <f t="shared" ca="1" si="148"/>
        <v>11958.222251602543</v>
      </c>
      <c r="AN231" s="158">
        <f t="shared" ca="1" si="149"/>
        <v>10220.867669061294</v>
      </c>
      <c r="AO231" s="169">
        <f t="shared" ca="1" si="150"/>
        <v>99</v>
      </c>
      <c r="AP231" s="169">
        <f t="shared" ca="1" si="151"/>
        <v>82</v>
      </c>
      <c r="AQ231" s="158">
        <f t="shared" ca="1" si="152"/>
        <v>0</v>
      </c>
      <c r="AR231" s="158">
        <f t="shared" ca="1" si="153"/>
        <v>37.536100721154071</v>
      </c>
      <c r="AS231" s="170"/>
      <c r="AT231" s="159"/>
      <c r="AU231" s="159"/>
    </row>
    <row r="232" spans="1:47" x14ac:dyDescent="0.6">
      <c r="A232" s="171" t="str">
        <f t="shared" ca="1" si="119"/>
        <v>November 2042</v>
      </c>
      <c r="B232" s="191">
        <v>0</v>
      </c>
      <c r="C232" s="269">
        <f t="shared" ca="1" si="139"/>
        <v>5.4899999999999997E-2</v>
      </c>
      <c r="D232" s="173" t="str">
        <f t="shared" ca="1" si="140"/>
        <v/>
      </c>
      <c r="E232" s="174" t="str">
        <f t="shared" ca="1" si="141"/>
        <v/>
      </c>
      <c r="F232" s="175">
        <f t="shared" ca="1" si="142"/>
        <v>49</v>
      </c>
      <c r="G232" s="10">
        <v>215</v>
      </c>
      <c r="H232" s="176">
        <f t="shared" ca="1" si="143"/>
        <v>98</v>
      </c>
      <c r="I232" s="12">
        <f t="shared" ca="1" si="144"/>
        <v>11883.150050160235</v>
      </c>
      <c r="J232" s="12">
        <f t="shared" ca="1" si="120"/>
        <v>3678.537870673088</v>
      </c>
      <c r="K232" s="177">
        <f t="shared" ca="1" si="121"/>
        <v>8204.6121794871469</v>
      </c>
      <c r="L232" s="177">
        <f t="shared" ca="1" si="122"/>
        <v>795847.38141025894</v>
      </c>
      <c r="M232" s="11">
        <f t="shared" ca="1" si="123"/>
        <v>-1.0459189070388675E-11</v>
      </c>
      <c r="N232" s="12">
        <f ca="1">IF(Y232=0, 0, ROUND(SUM(Y$17:Y232)-SUM(J$17:J232),0))</f>
        <v>0</v>
      </c>
      <c r="O232" s="12" t="str">
        <f t="shared" ca="1" si="124"/>
        <v/>
      </c>
      <c r="P232" s="12">
        <f t="shared" ca="1" si="125"/>
        <v>4200000</v>
      </c>
      <c r="Q232" s="178">
        <f t="shared" ca="1" si="154"/>
        <v>5000000</v>
      </c>
      <c r="R232" s="178">
        <f t="shared" ca="1" si="154"/>
        <v>0</v>
      </c>
      <c r="S232" s="178">
        <f t="shared" ca="1" si="154"/>
        <v>358488</v>
      </c>
      <c r="T232" s="178">
        <f t="shared" ca="1" si="154"/>
        <v>628000</v>
      </c>
      <c r="U232" s="179" t="str">
        <f t="shared" ca="1" si="126"/>
        <v/>
      </c>
      <c r="V232" s="180">
        <f t="shared" ca="1" si="118"/>
        <v>1.84</v>
      </c>
      <c r="W232" s="181">
        <f t="shared" ca="1" si="145"/>
        <v>98</v>
      </c>
      <c r="X232" s="177">
        <f t="shared" ca="1" si="127"/>
        <v>11883.150050160257</v>
      </c>
      <c r="Y232" s="12">
        <f t="shared" ca="1" si="128"/>
        <v>3678.5378706730776</v>
      </c>
      <c r="Z232" s="182">
        <f t="shared" ca="1" si="129"/>
        <v>795847.38141025673</v>
      </c>
      <c r="AA232" s="271">
        <f t="shared" ca="1" si="146"/>
        <v>0.22</v>
      </c>
      <c r="AB232" s="12">
        <f t="shared" ca="1" si="130"/>
        <v>11112.091718612155</v>
      </c>
      <c r="AC232" s="12">
        <f t="shared" ca="1" si="131"/>
        <v>11112.091718612181</v>
      </c>
      <c r="AD232" s="199"/>
      <c r="AE232" s="273">
        <f t="shared" ca="1" si="132"/>
        <v>1.6821425527395739E-3</v>
      </c>
      <c r="AF232" s="184">
        <f t="shared" ca="1" si="133"/>
        <v>0.69747987843185366</v>
      </c>
      <c r="AG232" s="12">
        <f t="shared" ca="1" si="134"/>
        <v>7750.4603810212138</v>
      </c>
      <c r="AH232" s="12">
        <f t="shared" ca="1" si="135"/>
        <v>7750.4603810212311</v>
      </c>
      <c r="AI232" s="185">
        <f t="shared" ca="1" si="136"/>
        <v>49</v>
      </c>
      <c r="AJ232" s="177">
        <f t="shared" ca="1" si="137"/>
        <v>49</v>
      </c>
      <c r="AK232" s="12">
        <f t="shared" ca="1" si="138"/>
        <v>-11932.150050160235</v>
      </c>
      <c r="AL232" s="185">
        <f t="shared" ca="1" si="147"/>
        <v>11883.150050160235</v>
      </c>
      <c r="AM232" s="177">
        <f t="shared" ca="1" si="148"/>
        <v>11920.686150881389</v>
      </c>
      <c r="AN232" s="177">
        <f t="shared" ca="1" si="149"/>
        <v>10199.30567006381</v>
      </c>
      <c r="AO232" s="196">
        <f t="shared" ca="1" si="150"/>
        <v>98</v>
      </c>
      <c r="AP232" s="196">
        <f t="shared" ca="1" si="151"/>
        <v>81</v>
      </c>
      <c r="AQ232" s="177">
        <f t="shared" ca="1" si="152"/>
        <v>0</v>
      </c>
      <c r="AR232" s="177">
        <f t="shared" ca="1" si="153"/>
        <v>37.536100721154071</v>
      </c>
      <c r="AS232" s="189"/>
      <c r="AT232" s="190"/>
      <c r="AU232" s="190"/>
    </row>
    <row r="233" spans="1:47" x14ac:dyDescent="0.6">
      <c r="A233" s="152" t="str">
        <f t="shared" ca="1" si="119"/>
        <v>Desember 2042</v>
      </c>
      <c r="B233" s="191">
        <v>0</v>
      </c>
      <c r="C233" s="270">
        <f t="shared" ca="1" si="139"/>
        <v>5.4899999999999997E-2</v>
      </c>
      <c r="D233" s="192" t="str">
        <f t="shared" ca="1" si="140"/>
        <v/>
      </c>
      <c r="E233" s="193" t="str">
        <f t="shared" ca="1" si="141"/>
        <v/>
      </c>
      <c r="F233" s="194">
        <f t="shared" ca="1" si="142"/>
        <v>49</v>
      </c>
      <c r="G233" s="14">
        <v>216</v>
      </c>
      <c r="H233" s="157">
        <f t="shared" ca="1" si="143"/>
        <v>97</v>
      </c>
      <c r="I233" s="16">
        <f t="shared" ca="1" si="144"/>
        <v>11845.613949439081</v>
      </c>
      <c r="J233" s="16">
        <f t="shared" ca="1" si="120"/>
        <v>3641.0017699519344</v>
      </c>
      <c r="K233" s="158">
        <f t="shared" ca="1" si="121"/>
        <v>8204.6121794871469</v>
      </c>
      <c r="L233" s="158">
        <f t="shared" ca="1" si="122"/>
        <v>787642.76923077181</v>
      </c>
      <c r="M233" s="15">
        <f t="shared" ca="1" si="123"/>
        <v>-1.0004441719502211E-11</v>
      </c>
      <c r="N233" s="16">
        <f ca="1">IF(Y233=0, 0, ROUND(SUM(Y$17:Y233)-SUM(J$17:J233),0))</f>
        <v>0</v>
      </c>
      <c r="O233" s="16" t="str">
        <f t="shared" ca="1" si="124"/>
        <v/>
      </c>
      <c r="P233" s="16">
        <f t="shared" ca="1" si="125"/>
        <v>4210000</v>
      </c>
      <c r="Q233" s="160">
        <f t="shared" ca="1" si="154"/>
        <v>5000000</v>
      </c>
      <c r="R233" s="160">
        <f t="shared" ca="1" si="154"/>
        <v>0</v>
      </c>
      <c r="S233" s="160">
        <f t="shared" ca="1" si="154"/>
        <v>358488</v>
      </c>
      <c r="T233" s="160">
        <f t="shared" ca="1" si="154"/>
        <v>628000</v>
      </c>
      <c r="U233" s="161" t="str">
        <f t="shared" ca="1" si="126"/>
        <v/>
      </c>
      <c r="V233" s="162">
        <f t="shared" ca="1" si="118"/>
        <v>1.83</v>
      </c>
      <c r="W233" s="195">
        <f t="shared" ca="1" si="145"/>
        <v>97</v>
      </c>
      <c r="X233" s="158">
        <f t="shared" ca="1" si="127"/>
        <v>11845.613949439105</v>
      </c>
      <c r="Y233" s="16">
        <f t="shared" ca="1" si="128"/>
        <v>3641.0017699519244</v>
      </c>
      <c r="Z233" s="164">
        <f t="shared" ca="1" si="129"/>
        <v>787642.76923076948</v>
      </c>
      <c r="AA233" s="272">
        <f t="shared" ca="1" si="146"/>
        <v>0.22</v>
      </c>
      <c r="AB233" s="16">
        <f t="shared" ca="1" si="130"/>
        <v>11082.813560049655</v>
      </c>
      <c r="AC233" s="16">
        <f t="shared" ca="1" si="131"/>
        <v>11082.813560049681</v>
      </c>
      <c r="AD233" s="197"/>
      <c r="AE233" s="274">
        <f t="shared" ca="1" si="132"/>
        <v>1.6821425527395739E-3</v>
      </c>
      <c r="AF233" s="166">
        <f t="shared" ca="1" si="133"/>
        <v>0.69630661784866377</v>
      </c>
      <c r="AG233" s="16">
        <f t="shared" ca="1" si="134"/>
        <v>7717.0364262454841</v>
      </c>
      <c r="AH233" s="16">
        <f t="shared" ca="1" si="135"/>
        <v>7717.0364262455023</v>
      </c>
      <c r="AI233" s="168">
        <f t="shared" ca="1" si="136"/>
        <v>49</v>
      </c>
      <c r="AJ233" s="158">
        <f t="shared" ca="1" si="137"/>
        <v>49</v>
      </c>
      <c r="AK233" s="16">
        <f t="shared" ca="1" si="138"/>
        <v>-11894.613949439081</v>
      </c>
      <c r="AL233" s="168">
        <f t="shared" ca="1" si="147"/>
        <v>11845.613949439081</v>
      </c>
      <c r="AM233" s="158">
        <f t="shared" ca="1" si="148"/>
        <v>11883.150050160235</v>
      </c>
      <c r="AN233" s="158">
        <f t="shared" ca="1" si="149"/>
        <v>10177.771662393574</v>
      </c>
      <c r="AO233" s="169">
        <f t="shared" ca="1" si="150"/>
        <v>97</v>
      </c>
      <c r="AP233" s="169">
        <f t="shared" ca="1" si="151"/>
        <v>81</v>
      </c>
      <c r="AQ233" s="158">
        <f t="shared" ca="1" si="152"/>
        <v>0</v>
      </c>
      <c r="AR233" s="158">
        <f t="shared" ca="1" si="153"/>
        <v>37.536100721154071</v>
      </c>
      <c r="AS233" s="170"/>
      <c r="AT233" s="159"/>
      <c r="AU233" s="159"/>
    </row>
    <row r="234" spans="1:47" x14ac:dyDescent="0.6">
      <c r="A234" s="171" t="str">
        <f t="shared" ca="1" si="119"/>
        <v>Januar 2043</v>
      </c>
      <c r="B234" s="191">
        <v>0</v>
      </c>
      <c r="C234" s="269">
        <f t="shared" ca="1" si="139"/>
        <v>5.4899999999999997E-2</v>
      </c>
      <c r="D234" s="173" t="str">
        <f t="shared" ca="1" si="140"/>
        <v/>
      </c>
      <c r="E234" s="174" t="str">
        <f t="shared" ca="1" si="141"/>
        <v/>
      </c>
      <c r="F234" s="175">
        <f t="shared" ca="1" si="142"/>
        <v>49</v>
      </c>
      <c r="G234" s="10">
        <v>217</v>
      </c>
      <c r="H234" s="176">
        <f t="shared" ca="1" si="143"/>
        <v>96</v>
      </c>
      <c r="I234" s="12">
        <f t="shared" ca="1" si="144"/>
        <v>11808.077848717929</v>
      </c>
      <c r="J234" s="12">
        <f t="shared" ca="1" si="120"/>
        <v>3603.4656692307813</v>
      </c>
      <c r="K234" s="177">
        <f t="shared" ca="1" si="121"/>
        <v>8204.6121794871469</v>
      </c>
      <c r="L234" s="177">
        <f t="shared" ca="1" si="122"/>
        <v>779438.15705128468</v>
      </c>
      <c r="M234" s="11">
        <f t="shared" ca="1" si="123"/>
        <v>-1.0913936421275139E-11</v>
      </c>
      <c r="N234" s="12">
        <f ca="1">IF(Y234=0, 0, ROUND(SUM(Y$17:Y234)-SUM(J$17:J234),0))</f>
        <v>0</v>
      </c>
      <c r="O234" s="12" t="str">
        <f t="shared" ca="1" si="124"/>
        <v/>
      </c>
      <c r="P234" s="12">
        <f t="shared" ca="1" si="125"/>
        <v>4220000</v>
      </c>
      <c r="Q234" s="178">
        <f t="shared" ca="1" si="154"/>
        <v>5000000</v>
      </c>
      <c r="R234" s="178">
        <f t="shared" ca="1" si="154"/>
        <v>0</v>
      </c>
      <c r="S234" s="178">
        <f t="shared" ca="1" si="154"/>
        <v>358488</v>
      </c>
      <c r="T234" s="178">
        <f t="shared" ca="1" si="154"/>
        <v>628000</v>
      </c>
      <c r="U234" s="179" t="str">
        <f t="shared" ca="1" si="126"/>
        <v/>
      </c>
      <c r="V234" s="180">
        <f t="shared" ca="1" si="118"/>
        <v>1.82</v>
      </c>
      <c r="W234" s="181">
        <f t="shared" ca="1" si="145"/>
        <v>96</v>
      </c>
      <c r="X234" s="177">
        <f t="shared" ca="1" si="127"/>
        <v>11808.07784871795</v>
      </c>
      <c r="Y234" s="12">
        <f t="shared" ca="1" si="128"/>
        <v>3603.4656692307703</v>
      </c>
      <c r="Z234" s="182">
        <f t="shared" ca="1" si="129"/>
        <v>779438.15705128235</v>
      </c>
      <c r="AA234" s="271">
        <f t="shared" ca="1" si="146"/>
        <v>0.22</v>
      </c>
      <c r="AB234" s="12">
        <f t="shared" ca="1" si="130"/>
        <v>11053.535401487155</v>
      </c>
      <c r="AC234" s="12">
        <f t="shared" ca="1" si="131"/>
        <v>11053.535401487181</v>
      </c>
      <c r="AD234" s="199"/>
      <c r="AE234" s="273">
        <f t="shared" ca="1" si="132"/>
        <v>1.6821425527395739E-3</v>
      </c>
      <c r="AF234" s="184">
        <f t="shared" ca="1" si="133"/>
        <v>0.69513533085702639</v>
      </c>
      <c r="AG234" s="12">
        <f t="shared" ca="1" si="134"/>
        <v>7683.7029884526282</v>
      </c>
      <c r="AH234" s="12">
        <f t="shared" ca="1" si="135"/>
        <v>7683.7029884526455</v>
      </c>
      <c r="AI234" s="185">
        <f t="shared" ca="1" si="136"/>
        <v>49</v>
      </c>
      <c r="AJ234" s="177">
        <f t="shared" ca="1" si="137"/>
        <v>49</v>
      </c>
      <c r="AK234" s="12">
        <f t="shared" ca="1" si="138"/>
        <v>-11857.077848717929</v>
      </c>
      <c r="AL234" s="185">
        <f t="shared" ca="1" si="147"/>
        <v>11808.077848717929</v>
      </c>
      <c r="AM234" s="177">
        <f t="shared" ca="1" si="148"/>
        <v>11845.613949439081</v>
      </c>
      <c r="AN234" s="177">
        <f t="shared" ca="1" si="149"/>
        <v>10156.265657382708</v>
      </c>
      <c r="AO234" s="196">
        <f t="shared" ca="1" si="150"/>
        <v>96</v>
      </c>
      <c r="AP234" s="196">
        <f t="shared" ca="1" si="151"/>
        <v>80</v>
      </c>
      <c r="AQ234" s="177">
        <f t="shared" ca="1" si="152"/>
        <v>0</v>
      </c>
      <c r="AR234" s="177">
        <f t="shared" ca="1" si="153"/>
        <v>37.536100721152252</v>
      </c>
      <c r="AS234" s="189"/>
      <c r="AT234" s="190"/>
      <c r="AU234" s="190"/>
    </row>
    <row r="235" spans="1:47" x14ac:dyDescent="0.6">
      <c r="A235" s="152" t="str">
        <f t="shared" ca="1" si="119"/>
        <v>Februar 2043</v>
      </c>
      <c r="B235" s="191">
        <v>0</v>
      </c>
      <c r="C235" s="270">
        <f t="shared" ca="1" si="139"/>
        <v>5.4899999999999997E-2</v>
      </c>
      <c r="D235" s="192" t="str">
        <f t="shared" ca="1" si="140"/>
        <v/>
      </c>
      <c r="E235" s="193" t="str">
        <f t="shared" ca="1" si="141"/>
        <v/>
      </c>
      <c r="F235" s="194">
        <f t="shared" ca="1" si="142"/>
        <v>49</v>
      </c>
      <c r="G235" s="14">
        <v>218</v>
      </c>
      <c r="H235" s="157">
        <f t="shared" ca="1" si="143"/>
        <v>95</v>
      </c>
      <c r="I235" s="16">
        <f t="shared" ca="1" si="144"/>
        <v>11770.541747996775</v>
      </c>
      <c r="J235" s="16">
        <f t="shared" ca="1" si="120"/>
        <v>3565.9295685096272</v>
      </c>
      <c r="K235" s="158">
        <f t="shared" ca="1" si="121"/>
        <v>8204.6121794871469</v>
      </c>
      <c r="L235" s="158">
        <f t="shared" ca="1" si="122"/>
        <v>771233.54487179755</v>
      </c>
      <c r="M235" s="15">
        <f t="shared" ca="1" si="123"/>
        <v>-1.0459189070388675E-11</v>
      </c>
      <c r="N235" s="16">
        <f ca="1">IF(Y235=0, 0, ROUND(SUM(Y$17:Y235)-SUM(J$17:J235),0))</f>
        <v>0</v>
      </c>
      <c r="O235" s="16" t="str">
        <f t="shared" ca="1" si="124"/>
        <v/>
      </c>
      <c r="P235" s="16" t="str">
        <f t="shared" ca="1" si="125"/>
        <v/>
      </c>
      <c r="Q235" s="160">
        <f t="shared" ca="1" si="154"/>
        <v>5000000</v>
      </c>
      <c r="R235" s="160">
        <f t="shared" ca="1" si="154"/>
        <v>0</v>
      </c>
      <c r="S235" s="160">
        <f t="shared" ca="1" si="154"/>
        <v>358488</v>
      </c>
      <c r="T235" s="160">
        <f t="shared" ca="1" si="154"/>
        <v>628000</v>
      </c>
      <c r="U235" s="161" t="str">
        <f t="shared" ca="1" si="126"/>
        <v/>
      </c>
      <c r="V235" s="162">
        <f t="shared" ca="1" si="118"/>
        <v>1.8</v>
      </c>
      <c r="W235" s="195">
        <f t="shared" ca="1" si="145"/>
        <v>95</v>
      </c>
      <c r="X235" s="158">
        <f t="shared" ca="1" si="127"/>
        <v>11770.541747996796</v>
      </c>
      <c r="Y235" s="16">
        <f t="shared" ca="1" si="128"/>
        <v>3565.9295685096167</v>
      </c>
      <c r="Z235" s="164">
        <f t="shared" ca="1" si="129"/>
        <v>771233.54487179511</v>
      </c>
      <c r="AA235" s="272">
        <f t="shared" ca="1" si="146"/>
        <v>0.22</v>
      </c>
      <c r="AB235" s="16">
        <f t="shared" ca="1" si="130"/>
        <v>11024.257242924656</v>
      </c>
      <c r="AC235" s="16">
        <f t="shared" ca="1" si="131"/>
        <v>11024.257242924681</v>
      </c>
      <c r="AD235" s="197"/>
      <c r="AE235" s="274">
        <f t="shared" ca="1" si="132"/>
        <v>1.6821425527395739E-3</v>
      </c>
      <c r="AF235" s="166">
        <f t="shared" ca="1" si="133"/>
        <v>0.69396601413707903</v>
      </c>
      <c r="AG235" s="16">
        <f t="shared" ca="1" si="134"/>
        <v>7650.4598576942471</v>
      </c>
      <c r="AH235" s="16">
        <f t="shared" ca="1" si="135"/>
        <v>7650.4598576942653</v>
      </c>
      <c r="AI235" s="168">
        <f t="shared" ca="1" si="136"/>
        <v>49</v>
      </c>
      <c r="AJ235" s="158">
        <f t="shared" ca="1" si="137"/>
        <v>49</v>
      </c>
      <c r="AK235" s="16">
        <f t="shared" ca="1" si="138"/>
        <v>-11819.541747996775</v>
      </c>
      <c r="AL235" s="168">
        <f t="shared" ca="1" si="147"/>
        <v>11770.541747996775</v>
      </c>
      <c r="AM235" s="158">
        <f t="shared" ca="1" si="148"/>
        <v>11808.077848717929</v>
      </c>
      <c r="AN235" s="158">
        <f t="shared" ca="1" si="149"/>
        <v>10134.787666252476</v>
      </c>
      <c r="AO235" s="169">
        <f t="shared" ca="1" si="150"/>
        <v>95</v>
      </c>
      <c r="AP235" s="169">
        <f t="shared" ca="1" si="151"/>
        <v>79</v>
      </c>
      <c r="AQ235" s="158">
        <f t="shared" ca="1" si="152"/>
        <v>0</v>
      </c>
      <c r="AR235" s="158">
        <f t="shared" ca="1" si="153"/>
        <v>37.536100721154071</v>
      </c>
      <c r="AS235" s="170"/>
      <c r="AT235" s="159"/>
      <c r="AU235" s="159"/>
    </row>
    <row r="236" spans="1:47" x14ac:dyDescent="0.6">
      <c r="A236" s="171" t="str">
        <f t="shared" ca="1" si="119"/>
        <v>Mars 2043</v>
      </c>
      <c r="B236" s="191">
        <v>0</v>
      </c>
      <c r="C236" s="269">
        <f t="shared" ca="1" si="139"/>
        <v>5.4899999999999997E-2</v>
      </c>
      <c r="D236" s="173" t="str">
        <f t="shared" ca="1" si="140"/>
        <v/>
      </c>
      <c r="E236" s="174" t="str">
        <f t="shared" ca="1" si="141"/>
        <v/>
      </c>
      <c r="F236" s="175">
        <f t="shared" ca="1" si="142"/>
        <v>49</v>
      </c>
      <c r="G236" s="10">
        <v>219</v>
      </c>
      <c r="H236" s="176">
        <f t="shared" ca="1" si="143"/>
        <v>94</v>
      </c>
      <c r="I236" s="12">
        <f t="shared" ca="1" si="144"/>
        <v>11733.005647275621</v>
      </c>
      <c r="J236" s="12">
        <f t="shared" ca="1" si="120"/>
        <v>3528.3934677884736</v>
      </c>
      <c r="K236" s="177">
        <f t="shared" ca="1" si="121"/>
        <v>8204.6121794871469</v>
      </c>
      <c r="L236" s="177">
        <f t="shared" ca="1" si="122"/>
        <v>763028.93269231042</v>
      </c>
      <c r="M236" s="11">
        <f t="shared" ca="1" si="123"/>
        <v>-1.0913936421275139E-11</v>
      </c>
      <c r="N236" s="12">
        <f ca="1">IF(Y236=0, 0, ROUND(SUM(Y$17:Y236)-SUM(J$17:J236),0))</f>
        <v>0</v>
      </c>
      <c r="O236" s="12" t="str">
        <f t="shared" ca="1" si="124"/>
        <v/>
      </c>
      <c r="P236" s="12">
        <f t="shared" ca="1" si="125"/>
        <v>4230000</v>
      </c>
      <c r="Q236" s="178">
        <f t="shared" ca="1" si="154"/>
        <v>5000000</v>
      </c>
      <c r="R236" s="178">
        <f t="shared" ca="1" si="154"/>
        <v>0</v>
      </c>
      <c r="S236" s="178">
        <f t="shared" ca="1" si="154"/>
        <v>358488</v>
      </c>
      <c r="T236" s="178">
        <f t="shared" ca="1" si="154"/>
        <v>628000</v>
      </c>
      <c r="U236" s="179" t="str">
        <f t="shared" ca="1" si="126"/>
        <v/>
      </c>
      <c r="V236" s="180">
        <f t="shared" ca="1" si="118"/>
        <v>1.79</v>
      </c>
      <c r="W236" s="181">
        <f t="shared" ca="1" si="145"/>
        <v>94</v>
      </c>
      <c r="X236" s="177">
        <f t="shared" ca="1" si="127"/>
        <v>11733.005647275642</v>
      </c>
      <c r="Y236" s="12">
        <f t="shared" ca="1" si="128"/>
        <v>3528.3934677884627</v>
      </c>
      <c r="Z236" s="182">
        <f t="shared" ca="1" si="129"/>
        <v>763028.93269230798</v>
      </c>
      <c r="AA236" s="271">
        <f t="shared" ca="1" si="146"/>
        <v>0.22</v>
      </c>
      <c r="AB236" s="12">
        <f t="shared" ca="1" si="130"/>
        <v>10994.979084362156</v>
      </c>
      <c r="AC236" s="12">
        <f t="shared" ca="1" si="131"/>
        <v>10994.979084362181</v>
      </c>
      <c r="AD236" s="199"/>
      <c r="AE236" s="273">
        <f t="shared" ca="1" si="132"/>
        <v>1.6821425527395739E-3</v>
      </c>
      <c r="AF236" s="184">
        <f t="shared" ca="1" si="133"/>
        <v>0.69279866437454396</v>
      </c>
      <c r="AG236" s="12">
        <f t="shared" ca="1" si="134"/>
        <v>7617.306824472148</v>
      </c>
      <c r="AH236" s="12">
        <f t="shared" ca="1" si="135"/>
        <v>7617.3068244721653</v>
      </c>
      <c r="AI236" s="185">
        <f t="shared" ca="1" si="136"/>
        <v>49</v>
      </c>
      <c r="AJ236" s="177">
        <f t="shared" ca="1" si="137"/>
        <v>49</v>
      </c>
      <c r="AK236" s="12">
        <f t="shared" ca="1" si="138"/>
        <v>-11782.005647275621</v>
      </c>
      <c r="AL236" s="185">
        <f t="shared" ca="1" si="147"/>
        <v>11733.005647275621</v>
      </c>
      <c r="AM236" s="177">
        <f t="shared" ca="1" si="148"/>
        <v>11770.541747996775</v>
      </c>
      <c r="AN236" s="177">
        <f t="shared" ca="1" si="149"/>
        <v>10113.337700113143</v>
      </c>
      <c r="AO236" s="196">
        <f t="shared" ca="1" si="150"/>
        <v>94</v>
      </c>
      <c r="AP236" s="196">
        <f t="shared" ca="1" si="151"/>
        <v>79</v>
      </c>
      <c r="AQ236" s="177">
        <f t="shared" ca="1" si="152"/>
        <v>0</v>
      </c>
      <c r="AR236" s="177">
        <f t="shared" ca="1" si="153"/>
        <v>37.536100721154071</v>
      </c>
      <c r="AS236" s="189"/>
      <c r="AT236" s="190"/>
      <c r="AU236" s="190"/>
    </row>
    <row r="237" spans="1:47" x14ac:dyDescent="0.6">
      <c r="A237" s="152" t="str">
        <f t="shared" ca="1" si="119"/>
        <v>April 2043</v>
      </c>
      <c r="B237" s="191">
        <v>0</v>
      </c>
      <c r="C237" s="270">
        <f t="shared" ca="1" si="139"/>
        <v>5.4899999999999997E-2</v>
      </c>
      <c r="D237" s="192" t="str">
        <f t="shared" ca="1" si="140"/>
        <v/>
      </c>
      <c r="E237" s="193" t="str">
        <f t="shared" ca="1" si="141"/>
        <v/>
      </c>
      <c r="F237" s="194">
        <f t="shared" ca="1" si="142"/>
        <v>49</v>
      </c>
      <c r="G237" s="14">
        <v>220</v>
      </c>
      <c r="H237" s="157">
        <f t="shared" ca="1" si="143"/>
        <v>93</v>
      </c>
      <c r="I237" s="16">
        <f t="shared" ca="1" si="144"/>
        <v>11695.469546554466</v>
      </c>
      <c r="J237" s="16">
        <f t="shared" ca="1" si="120"/>
        <v>3490.85736706732</v>
      </c>
      <c r="K237" s="158">
        <f t="shared" ca="1" si="121"/>
        <v>8204.6121794871469</v>
      </c>
      <c r="L237" s="158">
        <f t="shared" ca="1" si="122"/>
        <v>754824.32051282329</v>
      </c>
      <c r="M237" s="15">
        <f t="shared" ca="1" si="123"/>
        <v>-1.1368683772161603E-11</v>
      </c>
      <c r="N237" s="16">
        <f ca="1">IF(Y237=0, 0, ROUND(SUM(Y$17:Y237)-SUM(J$17:J237),0))</f>
        <v>0</v>
      </c>
      <c r="O237" s="16" t="str">
        <f t="shared" ca="1" si="124"/>
        <v/>
      </c>
      <c r="P237" s="16">
        <f t="shared" ca="1" si="125"/>
        <v>4240000</v>
      </c>
      <c r="Q237" s="160">
        <f t="shared" ca="1" si="154"/>
        <v>5000000</v>
      </c>
      <c r="R237" s="160">
        <f t="shared" ca="1" si="154"/>
        <v>0</v>
      </c>
      <c r="S237" s="160">
        <f t="shared" ca="1" si="154"/>
        <v>358488</v>
      </c>
      <c r="T237" s="160">
        <f t="shared" ca="1" si="154"/>
        <v>628000</v>
      </c>
      <c r="U237" s="161" t="str">
        <f t="shared" ca="1" si="126"/>
        <v/>
      </c>
      <c r="V237" s="162">
        <f t="shared" ca="1" si="118"/>
        <v>1.78</v>
      </c>
      <c r="W237" s="195">
        <f t="shared" ca="1" si="145"/>
        <v>93</v>
      </c>
      <c r="X237" s="158">
        <f t="shared" ca="1" si="127"/>
        <v>11695.469546554488</v>
      </c>
      <c r="Y237" s="16">
        <f t="shared" ca="1" si="128"/>
        <v>3490.8573670673086</v>
      </c>
      <c r="Z237" s="164">
        <f t="shared" ca="1" si="129"/>
        <v>754824.32051282085</v>
      </c>
      <c r="AA237" s="272">
        <f t="shared" ca="1" si="146"/>
        <v>0.22</v>
      </c>
      <c r="AB237" s="16">
        <f t="shared" ca="1" si="130"/>
        <v>10965.700925799656</v>
      </c>
      <c r="AC237" s="16">
        <f t="shared" ca="1" si="131"/>
        <v>10965.70092579968</v>
      </c>
      <c r="AD237" s="197"/>
      <c r="AE237" s="274">
        <f t="shared" ca="1" si="132"/>
        <v>1.6821425527395739E-3</v>
      </c>
      <c r="AF237" s="166">
        <f t="shared" ca="1" si="133"/>
        <v>0.69163327826071841</v>
      </c>
      <c r="AG237" s="16">
        <f t="shared" ca="1" si="134"/>
        <v>7584.2436797374112</v>
      </c>
      <c r="AH237" s="16">
        <f t="shared" ca="1" si="135"/>
        <v>7584.2436797374276</v>
      </c>
      <c r="AI237" s="168">
        <f t="shared" ca="1" si="136"/>
        <v>49</v>
      </c>
      <c r="AJ237" s="158">
        <f t="shared" ca="1" si="137"/>
        <v>49</v>
      </c>
      <c r="AK237" s="16">
        <f t="shared" ca="1" si="138"/>
        <v>-11744.469546554466</v>
      </c>
      <c r="AL237" s="168">
        <f t="shared" ca="1" si="147"/>
        <v>11695.469546554466</v>
      </c>
      <c r="AM237" s="158">
        <f t="shared" ca="1" si="148"/>
        <v>11733.005647275621</v>
      </c>
      <c r="AN237" s="158">
        <f t="shared" ca="1" si="149"/>
        <v>10091.915769963787</v>
      </c>
      <c r="AO237" s="169">
        <f t="shared" ca="1" si="150"/>
        <v>93</v>
      </c>
      <c r="AP237" s="169">
        <f t="shared" ca="1" si="151"/>
        <v>78</v>
      </c>
      <c r="AQ237" s="158">
        <f t="shared" ca="1" si="152"/>
        <v>0</v>
      </c>
      <c r="AR237" s="158">
        <f t="shared" ca="1" si="153"/>
        <v>37.536100721154071</v>
      </c>
      <c r="AS237" s="170"/>
      <c r="AT237" s="159"/>
      <c r="AU237" s="159"/>
    </row>
    <row r="238" spans="1:47" x14ac:dyDescent="0.6">
      <c r="A238" s="171" t="str">
        <f t="shared" ca="1" si="119"/>
        <v>Mai 2043</v>
      </c>
      <c r="B238" s="191">
        <v>0</v>
      </c>
      <c r="C238" s="269">
        <f t="shared" ca="1" si="139"/>
        <v>5.4899999999999997E-2</v>
      </c>
      <c r="D238" s="173" t="str">
        <f t="shared" ca="1" si="140"/>
        <v/>
      </c>
      <c r="E238" s="174" t="str">
        <f t="shared" ca="1" si="141"/>
        <v/>
      </c>
      <c r="F238" s="175">
        <f t="shared" ca="1" si="142"/>
        <v>49</v>
      </c>
      <c r="G238" s="10">
        <v>221</v>
      </c>
      <c r="H238" s="176">
        <f t="shared" ca="1" si="143"/>
        <v>92</v>
      </c>
      <c r="I238" s="12">
        <f t="shared" ca="1" si="144"/>
        <v>11657.933445833314</v>
      </c>
      <c r="J238" s="12">
        <f t="shared" ca="1" si="120"/>
        <v>3453.3212663461668</v>
      </c>
      <c r="K238" s="177">
        <f t="shared" ca="1" si="121"/>
        <v>8204.6121794871469</v>
      </c>
      <c r="L238" s="177">
        <f t="shared" ca="1" si="122"/>
        <v>746619.70833333617</v>
      </c>
      <c r="M238" s="11">
        <f t="shared" ca="1" si="123"/>
        <v>-1.1823431123048067E-11</v>
      </c>
      <c r="N238" s="12">
        <f ca="1">IF(Y238=0, 0, ROUND(SUM(Y$17:Y238)-SUM(J$17:J238),0))</f>
        <v>0</v>
      </c>
      <c r="O238" s="12" t="str">
        <f t="shared" ca="1" si="124"/>
        <v/>
      </c>
      <c r="P238" s="12">
        <f t="shared" ca="1" si="125"/>
        <v>4250000</v>
      </c>
      <c r="Q238" s="178">
        <f t="shared" ref="Q238:T257" ca="1" si="155">OFFSET(Q238,-1,0,1,1)</f>
        <v>5000000</v>
      </c>
      <c r="R238" s="178">
        <f t="shared" ca="1" si="155"/>
        <v>0</v>
      </c>
      <c r="S238" s="178">
        <f t="shared" ca="1" si="155"/>
        <v>358488</v>
      </c>
      <c r="T238" s="178">
        <f t="shared" ca="1" si="155"/>
        <v>628000</v>
      </c>
      <c r="U238" s="179" t="str">
        <f t="shared" ca="1" si="126"/>
        <v/>
      </c>
      <c r="V238" s="180">
        <f t="shared" ca="1" si="118"/>
        <v>1.76</v>
      </c>
      <c r="W238" s="181">
        <f t="shared" ca="1" si="145"/>
        <v>92</v>
      </c>
      <c r="X238" s="177">
        <f t="shared" ca="1" si="127"/>
        <v>11657.933445833334</v>
      </c>
      <c r="Y238" s="12">
        <f t="shared" ca="1" si="128"/>
        <v>3453.321266346155</v>
      </c>
      <c r="Z238" s="182">
        <f t="shared" ca="1" si="129"/>
        <v>746619.7083333336</v>
      </c>
      <c r="AA238" s="271">
        <f t="shared" ca="1" si="146"/>
        <v>0.22</v>
      </c>
      <c r="AB238" s="12">
        <f t="shared" ca="1" si="130"/>
        <v>10936.422767237156</v>
      </c>
      <c r="AC238" s="12">
        <f t="shared" ca="1" si="131"/>
        <v>10936.422767237182</v>
      </c>
      <c r="AD238" s="199"/>
      <c r="AE238" s="273">
        <f t="shared" ca="1" si="132"/>
        <v>1.6821425527395739E-3</v>
      </c>
      <c r="AF238" s="184">
        <f t="shared" ca="1" si="133"/>
        <v>0.69046985249246529</v>
      </c>
      <c r="AG238" s="12">
        <f t="shared" ca="1" si="134"/>
        <v>7551.2702148894787</v>
      </c>
      <c r="AH238" s="12">
        <f t="shared" ca="1" si="135"/>
        <v>7551.2702148894959</v>
      </c>
      <c r="AI238" s="185">
        <f t="shared" ca="1" si="136"/>
        <v>49</v>
      </c>
      <c r="AJ238" s="177">
        <f t="shared" ca="1" si="137"/>
        <v>49</v>
      </c>
      <c r="AK238" s="12">
        <f t="shared" ca="1" si="138"/>
        <v>-11706.933445833314</v>
      </c>
      <c r="AL238" s="185">
        <f t="shared" ca="1" si="147"/>
        <v>11657.933445833314</v>
      </c>
      <c r="AM238" s="177">
        <f t="shared" ca="1" si="148"/>
        <v>11695.469546554466</v>
      </c>
      <c r="AN238" s="177">
        <f t="shared" ca="1" si="149"/>
        <v>10070.52188669215</v>
      </c>
      <c r="AO238" s="196">
        <f t="shared" ca="1" si="150"/>
        <v>92</v>
      </c>
      <c r="AP238" s="196">
        <f t="shared" ca="1" si="151"/>
        <v>77</v>
      </c>
      <c r="AQ238" s="177">
        <f t="shared" ca="1" si="152"/>
        <v>0</v>
      </c>
      <c r="AR238" s="177">
        <f t="shared" ca="1" si="153"/>
        <v>37.536100721152252</v>
      </c>
      <c r="AS238" s="189"/>
      <c r="AT238" s="190"/>
      <c r="AU238" s="190"/>
    </row>
    <row r="239" spans="1:47" x14ac:dyDescent="0.6">
      <c r="A239" s="152" t="str">
        <f t="shared" ca="1" si="119"/>
        <v>Juni 2043</v>
      </c>
      <c r="B239" s="191">
        <v>0</v>
      </c>
      <c r="C239" s="270">
        <f t="shared" ca="1" si="139"/>
        <v>5.4899999999999997E-2</v>
      </c>
      <c r="D239" s="192" t="str">
        <f t="shared" ca="1" si="140"/>
        <v/>
      </c>
      <c r="E239" s="193" t="str">
        <f t="shared" ca="1" si="141"/>
        <v/>
      </c>
      <c r="F239" s="194">
        <f t="shared" ca="1" si="142"/>
        <v>49</v>
      </c>
      <c r="G239" s="14">
        <v>222</v>
      </c>
      <c r="H239" s="157">
        <f t="shared" ca="1" si="143"/>
        <v>91</v>
      </c>
      <c r="I239" s="16">
        <f t="shared" ca="1" si="144"/>
        <v>11620.39734511216</v>
      </c>
      <c r="J239" s="16">
        <f t="shared" ca="1" si="120"/>
        <v>3415.7851656250127</v>
      </c>
      <c r="K239" s="158">
        <f t="shared" ca="1" si="121"/>
        <v>8204.6121794871469</v>
      </c>
      <c r="L239" s="158">
        <f t="shared" ca="1" si="122"/>
        <v>738415.09615384904</v>
      </c>
      <c r="M239" s="15">
        <f t="shared" ca="1" si="123"/>
        <v>-1.1823431123048067E-11</v>
      </c>
      <c r="N239" s="16">
        <f ca="1">IF(Y239=0, 0, ROUND(SUM(Y$17:Y239)-SUM(J$17:J239),0))</f>
        <v>0</v>
      </c>
      <c r="O239" s="16" t="str">
        <f t="shared" ca="1" si="124"/>
        <v/>
      </c>
      <c r="P239" s="16">
        <f t="shared" ca="1" si="125"/>
        <v>4260000</v>
      </c>
      <c r="Q239" s="160">
        <f t="shared" ca="1" si="155"/>
        <v>5000000</v>
      </c>
      <c r="R239" s="160">
        <f t="shared" ca="1" si="155"/>
        <v>0</v>
      </c>
      <c r="S239" s="160">
        <f t="shared" ca="1" si="155"/>
        <v>358488</v>
      </c>
      <c r="T239" s="160">
        <f t="shared" ca="1" si="155"/>
        <v>628000</v>
      </c>
      <c r="U239" s="161" t="str">
        <f t="shared" ca="1" si="126"/>
        <v/>
      </c>
      <c r="V239" s="162">
        <f t="shared" ca="1" si="118"/>
        <v>1.75</v>
      </c>
      <c r="W239" s="195">
        <f t="shared" ca="1" si="145"/>
        <v>91</v>
      </c>
      <c r="X239" s="158">
        <f t="shared" ca="1" si="127"/>
        <v>11620.39734511218</v>
      </c>
      <c r="Y239" s="16">
        <f t="shared" ca="1" si="128"/>
        <v>3415.7851656250009</v>
      </c>
      <c r="Z239" s="164">
        <f t="shared" ca="1" si="129"/>
        <v>738415.09615384648</v>
      </c>
      <c r="AA239" s="272">
        <f t="shared" ca="1" si="146"/>
        <v>0.22</v>
      </c>
      <c r="AB239" s="16">
        <f t="shared" ca="1" si="130"/>
        <v>10907.144608674656</v>
      </c>
      <c r="AC239" s="16">
        <f t="shared" ca="1" si="131"/>
        <v>10907.14460867468</v>
      </c>
      <c r="AD239" s="197"/>
      <c r="AE239" s="274">
        <f t="shared" ca="1" si="132"/>
        <v>1.6821425527395739E-3</v>
      </c>
      <c r="AF239" s="166">
        <f t="shared" ca="1" si="133"/>
        <v>0.68930838377220394</v>
      </c>
      <c r="AG239" s="16">
        <f t="shared" ca="1" si="134"/>
        <v>7518.3862217752348</v>
      </c>
      <c r="AH239" s="16">
        <f t="shared" ca="1" si="135"/>
        <v>7518.3862217752512</v>
      </c>
      <c r="AI239" s="168">
        <f t="shared" ca="1" si="136"/>
        <v>49</v>
      </c>
      <c r="AJ239" s="158">
        <f t="shared" ca="1" si="137"/>
        <v>49</v>
      </c>
      <c r="AK239" s="16">
        <f t="shared" ca="1" si="138"/>
        <v>-11669.39734511216</v>
      </c>
      <c r="AL239" s="168">
        <f t="shared" ca="1" si="147"/>
        <v>11620.39734511216</v>
      </c>
      <c r="AM239" s="158">
        <f t="shared" ca="1" si="148"/>
        <v>11657.933445833314</v>
      </c>
      <c r="AN239" s="158">
        <f t="shared" ca="1" si="149"/>
        <v>10049.156061074482</v>
      </c>
      <c r="AO239" s="169">
        <f t="shared" ca="1" si="150"/>
        <v>91</v>
      </c>
      <c r="AP239" s="169">
        <f t="shared" ca="1" si="151"/>
        <v>76</v>
      </c>
      <c r="AQ239" s="158">
        <f t="shared" ca="1" si="152"/>
        <v>0</v>
      </c>
      <c r="AR239" s="158">
        <f t="shared" ca="1" si="153"/>
        <v>37.536100721154071</v>
      </c>
      <c r="AS239" s="170"/>
      <c r="AT239" s="159"/>
      <c r="AU239" s="159"/>
    </row>
    <row r="240" spans="1:47" x14ac:dyDescent="0.6">
      <c r="A240" s="171" t="str">
        <f t="shared" ca="1" si="119"/>
        <v>Juli 2043</v>
      </c>
      <c r="B240" s="191">
        <v>0</v>
      </c>
      <c r="C240" s="269">
        <f t="shared" ca="1" si="139"/>
        <v>5.4899999999999997E-2</v>
      </c>
      <c r="D240" s="173" t="str">
        <f t="shared" ca="1" si="140"/>
        <v/>
      </c>
      <c r="E240" s="174" t="str">
        <f t="shared" ca="1" si="141"/>
        <v/>
      </c>
      <c r="F240" s="175">
        <f t="shared" ca="1" si="142"/>
        <v>49</v>
      </c>
      <c r="G240" s="10">
        <v>223</v>
      </c>
      <c r="H240" s="176">
        <f t="shared" ca="1" si="143"/>
        <v>90</v>
      </c>
      <c r="I240" s="12">
        <f t="shared" ca="1" si="144"/>
        <v>11582.861244391006</v>
      </c>
      <c r="J240" s="12">
        <f t="shared" ca="1" si="120"/>
        <v>3378.2490649038591</v>
      </c>
      <c r="K240" s="177">
        <f t="shared" ca="1" si="121"/>
        <v>8204.6121794871469</v>
      </c>
      <c r="L240" s="177">
        <f t="shared" ca="1" si="122"/>
        <v>730210.48397436191</v>
      </c>
      <c r="M240" s="11">
        <f t="shared" ca="1" si="123"/>
        <v>-1.1368683772161603E-11</v>
      </c>
      <c r="N240" s="12">
        <f ca="1">IF(Y240=0, 0, ROUND(SUM(Y$17:Y240)-SUM(J$17:J240),0))</f>
        <v>0</v>
      </c>
      <c r="O240" s="12" t="str">
        <f t="shared" ca="1" si="124"/>
        <v/>
      </c>
      <c r="P240" s="12" t="str">
        <f t="shared" ca="1" si="125"/>
        <v/>
      </c>
      <c r="Q240" s="178">
        <f t="shared" ca="1" si="155"/>
        <v>5000000</v>
      </c>
      <c r="R240" s="178">
        <f t="shared" ca="1" si="155"/>
        <v>0</v>
      </c>
      <c r="S240" s="178">
        <f t="shared" ca="1" si="155"/>
        <v>358488</v>
      </c>
      <c r="T240" s="178">
        <f t="shared" ca="1" si="155"/>
        <v>628000</v>
      </c>
      <c r="U240" s="179" t="str">
        <f t="shared" ca="1" si="126"/>
        <v/>
      </c>
      <c r="V240" s="180">
        <f t="shared" ca="1" si="118"/>
        <v>1.74</v>
      </c>
      <c r="W240" s="181">
        <f t="shared" ca="1" si="145"/>
        <v>90</v>
      </c>
      <c r="X240" s="177">
        <f t="shared" ca="1" si="127"/>
        <v>11582.861244391028</v>
      </c>
      <c r="Y240" s="12">
        <f t="shared" ca="1" si="128"/>
        <v>3378.2490649038477</v>
      </c>
      <c r="Z240" s="182">
        <f t="shared" ca="1" si="129"/>
        <v>730210.48397435923</v>
      </c>
      <c r="AA240" s="271">
        <f t="shared" ca="1" si="146"/>
        <v>0.22</v>
      </c>
      <c r="AB240" s="12">
        <f t="shared" ca="1" si="130"/>
        <v>10877.866450112157</v>
      </c>
      <c r="AC240" s="12">
        <f t="shared" ca="1" si="131"/>
        <v>10877.866450112182</v>
      </c>
      <c r="AD240" s="199"/>
      <c r="AE240" s="273">
        <f t="shared" ca="1" si="132"/>
        <v>1.6821425527395739E-3</v>
      </c>
      <c r="AF240" s="184">
        <f t="shared" ca="1" si="133"/>
        <v>0.6881488688079006</v>
      </c>
      <c r="AG240" s="12">
        <f t="shared" ca="1" si="134"/>
        <v>7485.5914926880941</v>
      </c>
      <c r="AH240" s="12">
        <f t="shared" ca="1" si="135"/>
        <v>7485.5914926881114</v>
      </c>
      <c r="AI240" s="185">
        <f t="shared" ca="1" si="136"/>
        <v>49</v>
      </c>
      <c r="AJ240" s="177">
        <f t="shared" ca="1" si="137"/>
        <v>49</v>
      </c>
      <c r="AK240" s="12">
        <f t="shared" ca="1" si="138"/>
        <v>-11631.861244391006</v>
      </c>
      <c r="AL240" s="185">
        <f t="shared" ca="1" si="147"/>
        <v>11582.861244391006</v>
      </c>
      <c r="AM240" s="177">
        <f t="shared" ca="1" si="148"/>
        <v>11620.39734511216</v>
      </c>
      <c r="AN240" s="177">
        <f t="shared" ca="1" si="149"/>
        <v>10027.818303775386</v>
      </c>
      <c r="AO240" s="196">
        <f t="shared" ca="1" si="150"/>
        <v>90</v>
      </c>
      <c r="AP240" s="196">
        <f t="shared" ca="1" si="151"/>
        <v>76</v>
      </c>
      <c r="AQ240" s="177">
        <f t="shared" ca="1" si="152"/>
        <v>0</v>
      </c>
      <c r="AR240" s="177">
        <f t="shared" ca="1" si="153"/>
        <v>37.536100721154071</v>
      </c>
      <c r="AS240" s="189"/>
      <c r="AT240" s="190"/>
      <c r="AU240" s="190"/>
    </row>
    <row r="241" spans="1:47" x14ac:dyDescent="0.6">
      <c r="A241" s="152" t="str">
        <f t="shared" ca="1" si="119"/>
        <v>August 2043</v>
      </c>
      <c r="B241" s="191">
        <v>0</v>
      </c>
      <c r="C241" s="270">
        <f t="shared" ca="1" si="139"/>
        <v>5.4899999999999997E-2</v>
      </c>
      <c r="D241" s="192" t="str">
        <f t="shared" ca="1" si="140"/>
        <v/>
      </c>
      <c r="E241" s="193" t="str">
        <f t="shared" ca="1" si="141"/>
        <v/>
      </c>
      <c r="F241" s="194">
        <f t="shared" ca="1" si="142"/>
        <v>49</v>
      </c>
      <c r="G241" s="14">
        <v>224</v>
      </c>
      <c r="H241" s="157">
        <f t="shared" ca="1" si="143"/>
        <v>89</v>
      </c>
      <c r="I241" s="16">
        <f t="shared" ca="1" si="144"/>
        <v>11545.325143669852</v>
      </c>
      <c r="J241" s="16">
        <f t="shared" ca="1" si="120"/>
        <v>3340.7129641827055</v>
      </c>
      <c r="K241" s="158">
        <f t="shared" ca="1" si="121"/>
        <v>8204.6121794871469</v>
      </c>
      <c r="L241" s="158">
        <f t="shared" ca="1" si="122"/>
        <v>722005.87179487478</v>
      </c>
      <c r="M241" s="15">
        <f t="shared" ca="1" si="123"/>
        <v>-1.1823431123048067E-11</v>
      </c>
      <c r="N241" s="16">
        <f ca="1">IF(Y241=0, 0, ROUND(SUM(Y$17:Y241)-SUM(J$17:J241),0))</f>
        <v>0</v>
      </c>
      <c r="O241" s="16" t="str">
        <f t="shared" ca="1" si="124"/>
        <v/>
      </c>
      <c r="P241" s="16">
        <f t="shared" ca="1" si="125"/>
        <v>4270000</v>
      </c>
      <c r="Q241" s="160">
        <f t="shared" ca="1" si="155"/>
        <v>5000000</v>
      </c>
      <c r="R241" s="160">
        <f t="shared" ca="1" si="155"/>
        <v>0</v>
      </c>
      <c r="S241" s="160">
        <f t="shared" ca="1" si="155"/>
        <v>358488</v>
      </c>
      <c r="T241" s="160">
        <f t="shared" ca="1" si="155"/>
        <v>628000</v>
      </c>
      <c r="U241" s="161" t="str">
        <f t="shared" ca="1" si="126"/>
        <v/>
      </c>
      <c r="V241" s="162">
        <f t="shared" ca="1" si="118"/>
        <v>1.73</v>
      </c>
      <c r="W241" s="195">
        <f t="shared" ca="1" si="145"/>
        <v>89</v>
      </c>
      <c r="X241" s="158">
        <f t="shared" ca="1" si="127"/>
        <v>11545.325143669874</v>
      </c>
      <c r="Y241" s="16">
        <f t="shared" ca="1" si="128"/>
        <v>3340.7129641826937</v>
      </c>
      <c r="Z241" s="164">
        <f t="shared" ca="1" si="129"/>
        <v>722005.8717948721</v>
      </c>
      <c r="AA241" s="272">
        <f t="shared" ca="1" si="146"/>
        <v>0.22</v>
      </c>
      <c r="AB241" s="16">
        <f t="shared" ca="1" si="130"/>
        <v>10848.588291549657</v>
      </c>
      <c r="AC241" s="16">
        <f t="shared" ca="1" si="131"/>
        <v>10848.58829154968</v>
      </c>
      <c r="AD241" s="197"/>
      <c r="AE241" s="274">
        <f t="shared" ca="1" si="132"/>
        <v>1.6821425527395739E-3</v>
      </c>
      <c r="AF241" s="166">
        <f t="shared" ca="1" si="133"/>
        <v>0.68699130431305921</v>
      </c>
      <c r="AG241" s="16">
        <f t="shared" ca="1" si="134"/>
        <v>7452.8858203670816</v>
      </c>
      <c r="AH241" s="16">
        <f t="shared" ca="1" si="135"/>
        <v>7452.8858203670979</v>
      </c>
      <c r="AI241" s="168">
        <f t="shared" ca="1" si="136"/>
        <v>49</v>
      </c>
      <c r="AJ241" s="158">
        <f t="shared" ca="1" si="137"/>
        <v>49</v>
      </c>
      <c r="AK241" s="16">
        <f t="shared" ca="1" si="138"/>
        <v>-11594.325143669852</v>
      </c>
      <c r="AL241" s="168">
        <f t="shared" ca="1" si="147"/>
        <v>11545.325143669852</v>
      </c>
      <c r="AM241" s="158">
        <f t="shared" ca="1" si="148"/>
        <v>11582.861244391006</v>
      </c>
      <c r="AN241" s="158">
        <f t="shared" ca="1" si="149"/>
        <v>10006.508625347647</v>
      </c>
      <c r="AO241" s="169">
        <f t="shared" ca="1" si="150"/>
        <v>89</v>
      </c>
      <c r="AP241" s="169">
        <f t="shared" ca="1" si="151"/>
        <v>75</v>
      </c>
      <c r="AQ241" s="158">
        <f t="shared" ca="1" si="152"/>
        <v>0</v>
      </c>
      <c r="AR241" s="158">
        <f t="shared" ca="1" si="153"/>
        <v>37.536100721154071</v>
      </c>
      <c r="AS241" s="170"/>
      <c r="AT241" s="159"/>
      <c r="AU241" s="159"/>
    </row>
    <row r="242" spans="1:47" x14ac:dyDescent="0.6">
      <c r="A242" s="171" t="str">
        <f t="shared" ca="1" si="119"/>
        <v>September 2043</v>
      </c>
      <c r="B242" s="191">
        <v>0</v>
      </c>
      <c r="C242" s="269">
        <f t="shared" ca="1" si="139"/>
        <v>5.4899999999999997E-2</v>
      </c>
      <c r="D242" s="173" t="str">
        <f t="shared" ca="1" si="140"/>
        <v/>
      </c>
      <c r="E242" s="174" t="str">
        <f t="shared" ca="1" si="141"/>
        <v/>
      </c>
      <c r="F242" s="175">
        <f t="shared" ca="1" si="142"/>
        <v>49</v>
      </c>
      <c r="G242" s="10">
        <v>225</v>
      </c>
      <c r="H242" s="176">
        <f t="shared" ca="1" si="143"/>
        <v>88</v>
      </c>
      <c r="I242" s="12">
        <f t="shared" ca="1" si="144"/>
        <v>11507.7890429487</v>
      </c>
      <c r="J242" s="12">
        <f t="shared" ca="1" si="120"/>
        <v>3303.1768634615523</v>
      </c>
      <c r="K242" s="177">
        <f t="shared" ca="1" si="121"/>
        <v>8204.6121794871469</v>
      </c>
      <c r="L242" s="177">
        <f t="shared" ca="1" si="122"/>
        <v>713801.25961538765</v>
      </c>
      <c r="M242" s="11">
        <f t="shared" ca="1" si="123"/>
        <v>-1.2732925824820995E-11</v>
      </c>
      <c r="N242" s="12">
        <f ca="1">IF(Y242=0, 0, ROUND(SUM(Y$17:Y242)-SUM(J$17:J242),0))</f>
        <v>0</v>
      </c>
      <c r="O242" s="12" t="str">
        <f t="shared" ca="1" si="124"/>
        <v/>
      </c>
      <c r="P242" s="12">
        <f t="shared" ca="1" si="125"/>
        <v>4280000</v>
      </c>
      <c r="Q242" s="178">
        <f t="shared" ca="1" si="155"/>
        <v>5000000</v>
      </c>
      <c r="R242" s="178">
        <f t="shared" ca="1" si="155"/>
        <v>0</v>
      </c>
      <c r="S242" s="178">
        <f t="shared" ca="1" si="155"/>
        <v>358488</v>
      </c>
      <c r="T242" s="178">
        <f t="shared" ca="1" si="155"/>
        <v>628000</v>
      </c>
      <c r="U242" s="179" t="str">
        <f t="shared" ca="1" si="126"/>
        <v/>
      </c>
      <c r="V242" s="180">
        <f t="shared" ca="1" si="118"/>
        <v>1.71</v>
      </c>
      <c r="W242" s="181">
        <f t="shared" ca="1" si="145"/>
        <v>88</v>
      </c>
      <c r="X242" s="177">
        <f t="shared" ca="1" si="127"/>
        <v>11507.78904294872</v>
      </c>
      <c r="Y242" s="12">
        <f t="shared" ca="1" si="128"/>
        <v>3303.1768634615396</v>
      </c>
      <c r="Z242" s="182">
        <f t="shared" ca="1" si="129"/>
        <v>713801.25961538486</v>
      </c>
      <c r="AA242" s="271">
        <f t="shared" ca="1" si="146"/>
        <v>0.22</v>
      </c>
      <c r="AB242" s="12">
        <f t="shared" ca="1" si="130"/>
        <v>10819.310132987157</v>
      </c>
      <c r="AC242" s="12">
        <f t="shared" ca="1" si="131"/>
        <v>10819.310132987181</v>
      </c>
      <c r="AD242" s="199"/>
      <c r="AE242" s="273">
        <f t="shared" ca="1" si="132"/>
        <v>1.6821425527395739E-3</v>
      </c>
      <c r="AF242" s="184">
        <f t="shared" ca="1" si="133"/>
        <v>0.68583568700671216</v>
      </c>
      <c r="AG242" s="12">
        <f t="shared" ca="1" si="134"/>
        <v>7420.2689979959287</v>
      </c>
      <c r="AH242" s="12">
        <f t="shared" ca="1" si="135"/>
        <v>7420.268997995945</v>
      </c>
      <c r="AI242" s="185">
        <f t="shared" ca="1" si="136"/>
        <v>49</v>
      </c>
      <c r="AJ242" s="177">
        <f t="shared" ca="1" si="137"/>
        <v>49</v>
      </c>
      <c r="AK242" s="12">
        <f t="shared" ca="1" si="138"/>
        <v>-11556.7890429487</v>
      </c>
      <c r="AL242" s="185">
        <f t="shared" ca="1" si="147"/>
        <v>11507.7890429487</v>
      </c>
      <c r="AM242" s="177">
        <f t="shared" ca="1" si="148"/>
        <v>11545.325143669852</v>
      </c>
      <c r="AN242" s="177">
        <f t="shared" ca="1" si="149"/>
        <v>9985.2270362321015</v>
      </c>
      <c r="AO242" s="196">
        <f t="shared" ca="1" si="150"/>
        <v>88</v>
      </c>
      <c r="AP242" s="196">
        <f t="shared" ca="1" si="151"/>
        <v>74</v>
      </c>
      <c r="AQ242" s="177">
        <f t="shared" ca="1" si="152"/>
        <v>0</v>
      </c>
      <c r="AR242" s="177">
        <f t="shared" ca="1" si="153"/>
        <v>37.536100721152252</v>
      </c>
      <c r="AS242" s="189"/>
      <c r="AT242" s="190"/>
      <c r="AU242" s="190"/>
    </row>
    <row r="243" spans="1:47" x14ac:dyDescent="0.6">
      <c r="A243" s="152" t="str">
        <f t="shared" ca="1" si="119"/>
        <v>Oktober 2043</v>
      </c>
      <c r="B243" s="191">
        <v>0</v>
      </c>
      <c r="C243" s="270">
        <f t="shared" ca="1" si="139"/>
        <v>5.4899999999999997E-2</v>
      </c>
      <c r="D243" s="192" t="str">
        <f t="shared" ca="1" si="140"/>
        <v/>
      </c>
      <c r="E243" s="193" t="str">
        <f t="shared" ca="1" si="141"/>
        <v/>
      </c>
      <c r="F243" s="194">
        <f t="shared" ca="1" si="142"/>
        <v>49</v>
      </c>
      <c r="G243" s="14">
        <v>226</v>
      </c>
      <c r="H243" s="157">
        <f t="shared" ca="1" si="143"/>
        <v>87</v>
      </c>
      <c r="I243" s="16">
        <f t="shared" ca="1" si="144"/>
        <v>11470.252942227546</v>
      </c>
      <c r="J243" s="16">
        <f t="shared" ca="1" si="120"/>
        <v>3265.6407627403983</v>
      </c>
      <c r="K243" s="158">
        <f t="shared" ca="1" si="121"/>
        <v>8204.6121794871469</v>
      </c>
      <c r="L243" s="158">
        <f t="shared" ca="1" si="122"/>
        <v>705596.64743590052</v>
      </c>
      <c r="M243" s="15">
        <f t="shared" ca="1" si="123"/>
        <v>-1.2732925824820995E-11</v>
      </c>
      <c r="N243" s="16">
        <f ca="1">IF(Y243=0, 0, ROUND(SUM(Y$17:Y243)-SUM(J$17:J243),0))</f>
        <v>0</v>
      </c>
      <c r="O243" s="16" t="str">
        <f t="shared" ca="1" si="124"/>
        <v/>
      </c>
      <c r="P243" s="16">
        <f t="shared" ca="1" si="125"/>
        <v>4290000</v>
      </c>
      <c r="Q243" s="160">
        <f t="shared" ca="1" si="155"/>
        <v>5000000</v>
      </c>
      <c r="R243" s="160">
        <f t="shared" ca="1" si="155"/>
        <v>0</v>
      </c>
      <c r="S243" s="160">
        <f t="shared" ca="1" si="155"/>
        <v>358488</v>
      </c>
      <c r="T243" s="160">
        <f t="shared" ca="1" si="155"/>
        <v>628000</v>
      </c>
      <c r="U243" s="161" t="str">
        <f t="shared" ca="1" si="126"/>
        <v/>
      </c>
      <c r="V243" s="162">
        <f t="shared" ca="1" si="118"/>
        <v>1.7</v>
      </c>
      <c r="W243" s="195">
        <f t="shared" ca="1" si="145"/>
        <v>87</v>
      </c>
      <c r="X243" s="158">
        <f t="shared" ca="1" si="127"/>
        <v>11470.252942227566</v>
      </c>
      <c r="Y243" s="16">
        <f t="shared" ca="1" si="128"/>
        <v>3265.6407627403855</v>
      </c>
      <c r="Z243" s="164">
        <f t="shared" ca="1" si="129"/>
        <v>705596.64743589773</v>
      </c>
      <c r="AA243" s="272">
        <f t="shared" ca="1" si="146"/>
        <v>0.22</v>
      </c>
      <c r="AB243" s="16">
        <f t="shared" ca="1" si="130"/>
        <v>10790.031974424657</v>
      </c>
      <c r="AC243" s="16">
        <f t="shared" ca="1" si="131"/>
        <v>10790.031974424681</v>
      </c>
      <c r="AD243" s="197"/>
      <c r="AE243" s="274">
        <f t="shared" ca="1" si="132"/>
        <v>1.6821425527395739E-3</v>
      </c>
      <c r="AF243" s="166">
        <f t="shared" ca="1" si="133"/>
        <v>0.68468201361341074</v>
      </c>
      <c r="AG243" s="16">
        <f t="shared" ca="1" si="134"/>
        <v>7387.7408192021603</v>
      </c>
      <c r="AH243" s="16">
        <f t="shared" ca="1" si="135"/>
        <v>7387.7408192021767</v>
      </c>
      <c r="AI243" s="168">
        <f t="shared" ca="1" si="136"/>
        <v>49</v>
      </c>
      <c r="AJ243" s="158">
        <f t="shared" ca="1" si="137"/>
        <v>49</v>
      </c>
      <c r="AK243" s="16">
        <f t="shared" ca="1" si="138"/>
        <v>-11519.252942227546</v>
      </c>
      <c r="AL243" s="168">
        <f t="shared" ca="1" si="147"/>
        <v>11470.252942227546</v>
      </c>
      <c r="AM243" s="158">
        <f t="shared" ca="1" si="148"/>
        <v>11507.7890429487</v>
      </c>
      <c r="AN243" s="158">
        <f t="shared" ca="1" si="149"/>
        <v>9963.9735467574592</v>
      </c>
      <c r="AO243" s="169">
        <f t="shared" ca="1" si="150"/>
        <v>87</v>
      </c>
      <c r="AP243" s="169">
        <f t="shared" ca="1" si="151"/>
        <v>74</v>
      </c>
      <c r="AQ243" s="158">
        <f t="shared" ca="1" si="152"/>
        <v>0</v>
      </c>
      <c r="AR243" s="158">
        <f t="shared" ca="1" si="153"/>
        <v>37.536100721154071</v>
      </c>
      <c r="AS243" s="170"/>
      <c r="AT243" s="159"/>
      <c r="AU243" s="159"/>
    </row>
    <row r="244" spans="1:47" x14ac:dyDescent="0.6">
      <c r="A244" s="171" t="str">
        <f t="shared" ca="1" si="119"/>
        <v>November 2043</v>
      </c>
      <c r="B244" s="191">
        <v>0</v>
      </c>
      <c r="C244" s="269">
        <f t="shared" ca="1" si="139"/>
        <v>5.4899999999999997E-2</v>
      </c>
      <c r="D244" s="173" t="str">
        <f t="shared" ca="1" si="140"/>
        <v/>
      </c>
      <c r="E244" s="174" t="str">
        <f t="shared" ca="1" si="141"/>
        <v/>
      </c>
      <c r="F244" s="175">
        <f t="shared" ca="1" si="142"/>
        <v>49</v>
      </c>
      <c r="G244" s="10">
        <v>227</v>
      </c>
      <c r="H244" s="176">
        <f t="shared" ca="1" si="143"/>
        <v>86</v>
      </c>
      <c r="I244" s="12">
        <f t="shared" ca="1" si="144"/>
        <v>11432.716841506392</v>
      </c>
      <c r="J244" s="12">
        <f t="shared" ca="1" si="120"/>
        <v>3228.1046620192446</v>
      </c>
      <c r="K244" s="177">
        <f t="shared" ca="1" si="121"/>
        <v>8204.6121794871469</v>
      </c>
      <c r="L244" s="177">
        <f t="shared" ca="1" si="122"/>
        <v>697392.03525641339</v>
      </c>
      <c r="M244" s="11">
        <f t="shared" ca="1" si="123"/>
        <v>-1.2732925824820995E-11</v>
      </c>
      <c r="N244" s="12">
        <f ca="1">IF(Y244=0, 0, ROUND(SUM(Y$17:Y244)-SUM(J$17:J244),0))</f>
        <v>0</v>
      </c>
      <c r="O244" s="12" t="str">
        <f t="shared" ca="1" si="124"/>
        <v/>
      </c>
      <c r="P244" s="12">
        <f t="shared" ca="1" si="125"/>
        <v>4300000</v>
      </c>
      <c r="Q244" s="178">
        <f t="shared" ca="1" si="155"/>
        <v>5000000</v>
      </c>
      <c r="R244" s="178">
        <f t="shared" ca="1" si="155"/>
        <v>0</v>
      </c>
      <c r="S244" s="178">
        <f t="shared" ca="1" si="155"/>
        <v>358488</v>
      </c>
      <c r="T244" s="178">
        <f t="shared" ca="1" si="155"/>
        <v>628000</v>
      </c>
      <c r="U244" s="179" t="str">
        <f t="shared" ca="1" si="126"/>
        <v/>
      </c>
      <c r="V244" s="180">
        <f t="shared" ca="1" si="118"/>
        <v>1.69</v>
      </c>
      <c r="W244" s="181">
        <f t="shared" ca="1" si="145"/>
        <v>86</v>
      </c>
      <c r="X244" s="177">
        <f t="shared" ca="1" si="127"/>
        <v>11432.716841506412</v>
      </c>
      <c r="Y244" s="12">
        <f t="shared" ca="1" si="128"/>
        <v>3228.1046620192319</v>
      </c>
      <c r="Z244" s="182">
        <f t="shared" ca="1" si="129"/>
        <v>697392.03525641048</v>
      </c>
      <c r="AA244" s="271">
        <f t="shared" ca="1" si="146"/>
        <v>0.22</v>
      </c>
      <c r="AB244" s="12">
        <f t="shared" ca="1" si="130"/>
        <v>10760.753815862157</v>
      </c>
      <c r="AC244" s="12">
        <f t="shared" ca="1" si="131"/>
        <v>10760.753815862181</v>
      </c>
      <c r="AD244" s="199"/>
      <c r="AE244" s="273">
        <f t="shared" ca="1" si="132"/>
        <v>1.6821425527395739E-3</v>
      </c>
      <c r="AF244" s="184">
        <f t="shared" ca="1" si="133"/>
        <v>0.68353028086321621</v>
      </c>
      <c r="AG244" s="12">
        <f t="shared" ca="1" si="134"/>
        <v>7355.3010780561863</v>
      </c>
      <c r="AH244" s="12">
        <f t="shared" ca="1" si="135"/>
        <v>7355.3010780562017</v>
      </c>
      <c r="AI244" s="185">
        <f t="shared" ca="1" si="136"/>
        <v>49</v>
      </c>
      <c r="AJ244" s="177">
        <f t="shared" ca="1" si="137"/>
        <v>49</v>
      </c>
      <c r="AK244" s="12">
        <f t="shared" ca="1" si="138"/>
        <v>-11481.716841506392</v>
      </c>
      <c r="AL244" s="185">
        <f t="shared" ca="1" si="147"/>
        <v>11432.716841506392</v>
      </c>
      <c r="AM244" s="177">
        <f t="shared" ca="1" si="148"/>
        <v>11470.252942227546</v>
      </c>
      <c r="AN244" s="177">
        <f t="shared" ca="1" si="149"/>
        <v>9942.7481671401729</v>
      </c>
      <c r="AO244" s="196">
        <f t="shared" ca="1" si="150"/>
        <v>86</v>
      </c>
      <c r="AP244" s="196">
        <f t="shared" ca="1" si="151"/>
        <v>73</v>
      </c>
      <c r="AQ244" s="177">
        <f t="shared" ca="1" si="152"/>
        <v>0</v>
      </c>
      <c r="AR244" s="177">
        <f t="shared" ca="1" si="153"/>
        <v>37.536100721154071</v>
      </c>
      <c r="AS244" s="189"/>
      <c r="AT244" s="190"/>
      <c r="AU244" s="190"/>
    </row>
    <row r="245" spans="1:47" x14ac:dyDescent="0.6">
      <c r="A245" s="152" t="str">
        <f t="shared" ca="1" si="119"/>
        <v>Desember 2043</v>
      </c>
      <c r="B245" s="191">
        <v>0</v>
      </c>
      <c r="C245" s="270">
        <f t="shared" ca="1" si="139"/>
        <v>5.4899999999999997E-2</v>
      </c>
      <c r="D245" s="192" t="str">
        <f t="shared" ca="1" si="140"/>
        <v/>
      </c>
      <c r="E245" s="193" t="str">
        <f t="shared" ca="1" si="141"/>
        <v/>
      </c>
      <c r="F245" s="194">
        <f t="shared" ca="1" si="142"/>
        <v>49</v>
      </c>
      <c r="G245" s="14">
        <v>228</v>
      </c>
      <c r="H245" s="157">
        <f t="shared" ca="1" si="143"/>
        <v>85</v>
      </c>
      <c r="I245" s="16">
        <f t="shared" ca="1" si="144"/>
        <v>11395.180740785238</v>
      </c>
      <c r="J245" s="16">
        <f t="shared" ca="1" si="120"/>
        <v>3190.568561298091</v>
      </c>
      <c r="K245" s="158">
        <f t="shared" ca="1" si="121"/>
        <v>8204.6121794871469</v>
      </c>
      <c r="L245" s="158">
        <f t="shared" ca="1" si="122"/>
        <v>689187.42307692626</v>
      </c>
      <c r="M245" s="15">
        <f t="shared" ca="1" si="123"/>
        <v>-1.3187673175707459E-11</v>
      </c>
      <c r="N245" s="16">
        <f ca="1">IF(Y245=0, 0, ROUND(SUM(Y$17:Y245)-SUM(J$17:J245),0))</f>
        <v>0</v>
      </c>
      <c r="O245" s="16" t="str">
        <f t="shared" ca="1" si="124"/>
        <v/>
      </c>
      <c r="P245" s="16">
        <f t="shared" ca="1" si="125"/>
        <v>4310000</v>
      </c>
      <c r="Q245" s="160">
        <f t="shared" ca="1" si="155"/>
        <v>5000000</v>
      </c>
      <c r="R245" s="160">
        <f t="shared" ca="1" si="155"/>
        <v>0</v>
      </c>
      <c r="S245" s="160">
        <f t="shared" ca="1" si="155"/>
        <v>358488</v>
      </c>
      <c r="T245" s="160">
        <f t="shared" ca="1" si="155"/>
        <v>628000</v>
      </c>
      <c r="U245" s="161" t="str">
        <f t="shared" ca="1" si="126"/>
        <v/>
      </c>
      <c r="V245" s="162">
        <f t="shared" ca="1" si="118"/>
        <v>1.67</v>
      </c>
      <c r="W245" s="195">
        <f t="shared" ca="1" si="145"/>
        <v>85</v>
      </c>
      <c r="X245" s="158">
        <f t="shared" ca="1" si="127"/>
        <v>11395.180740785258</v>
      </c>
      <c r="Y245" s="16">
        <f t="shared" ca="1" si="128"/>
        <v>3190.5685612980778</v>
      </c>
      <c r="Z245" s="164">
        <f t="shared" ca="1" si="129"/>
        <v>689187.42307692335</v>
      </c>
      <c r="AA245" s="272">
        <f t="shared" ca="1" si="146"/>
        <v>0.22</v>
      </c>
      <c r="AB245" s="16">
        <f t="shared" ca="1" si="130"/>
        <v>10731.475657299658</v>
      </c>
      <c r="AC245" s="16">
        <f t="shared" ca="1" si="131"/>
        <v>10731.475657299681</v>
      </c>
      <c r="AD245" s="197"/>
      <c r="AE245" s="274">
        <f t="shared" ca="1" si="132"/>
        <v>1.6821425527395739E-3</v>
      </c>
      <c r="AF245" s="166">
        <f t="shared" ca="1" si="133"/>
        <v>0.68238048549169017</v>
      </c>
      <c r="AG245" s="16">
        <f t="shared" ca="1" si="134"/>
        <v>7322.9495690703952</v>
      </c>
      <c r="AH245" s="16">
        <f t="shared" ca="1" si="135"/>
        <v>7322.9495690704116</v>
      </c>
      <c r="AI245" s="168">
        <f t="shared" ca="1" si="136"/>
        <v>49</v>
      </c>
      <c r="AJ245" s="158">
        <f t="shared" ca="1" si="137"/>
        <v>49</v>
      </c>
      <c r="AK245" s="16">
        <f t="shared" ca="1" si="138"/>
        <v>-11444.180740785238</v>
      </c>
      <c r="AL245" s="168">
        <f t="shared" ca="1" si="147"/>
        <v>11395.180740785238</v>
      </c>
      <c r="AM245" s="158">
        <f t="shared" ca="1" si="148"/>
        <v>11432.716841506392</v>
      </c>
      <c r="AN245" s="158">
        <f t="shared" ca="1" si="149"/>
        <v>9921.5509074842812</v>
      </c>
      <c r="AO245" s="169">
        <f t="shared" ca="1" si="150"/>
        <v>85</v>
      </c>
      <c r="AP245" s="169">
        <f t="shared" ca="1" si="151"/>
        <v>72</v>
      </c>
      <c r="AQ245" s="158">
        <f t="shared" ca="1" si="152"/>
        <v>0</v>
      </c>
      <c r="AR245" s="158">
        <f t="shared" ca="1" si="153"/>
        <v>37.536100721154071</v>
      </c>
      <c r="AS245" s="170"/>
      <c r="AT245" s="159"/>
      <c r="AU245" s="159"/>
    </row>
    <row r="246" spans="1:47" x14ac:dyDescent="0.6">
      <c r="A246" s="171" t="str">
        <f t="shared" ca="1" si="119"/>
        <v>Januar 2044</v>
      </c>
      <c r="B246" s="191">
        <v>0</v>
      </c>
      <c r="C246" s="269">
        <f t="shared" ca="1" si="139"/>
        <v>5.4899999999999997E-2</v>
      </c>
      <c r="D246" s="173" t="str">
        <f t="shared" ca="1" si="140"/>
        <v/>
      </c>
      <c r="E246" s="174" t="str">
        <f t="shared" ca="1" si="141"/>
        <v/>
      </c>
      <c r="F246" s="175">
        <f t="shared" ca="1" si="142"/>
        <v>49</v>
      </c>
      <c r="G246" s="10">
        <v>229</v>
      </c>
      <c r="H246" s="176">
        <f t="shared" ca="1" si="143"/>
        <v>84</v>
      </c>
      <c r="I246" s="12">
        <f t="shared" ca="1" si="144"/>
        <v>11357.644640064085</v>
      </c>
      <c r="J246" s="12">
        <f t="shared" ca="1" si="120"/>
        <v>3153.0324605769379</v>
      </c>
      <c r="K246" s="177">
        <f t="shared" ca="1" si="121"/>
        <v>8204.6121794871469</v>
      </c>
      <c r="L246" s="177">
        <f t="shared" ca="1" si="122"/>
        <v>680982.81089743914</v>
      </c>
      <c r="M246" s="11">
        <f t="shared" ca="1" si="123"/>
        <v>-1.3642420526593924E-11</v>
      </c>
      <c r="N246" s="12">
        <f ca="1">IF(Y246=0, 0, ROUND(SUM(Y$17:Y246)-SUM(J$17:J246),0))</f>
        <v>0</v>
      </c>
      <c r="O246" s="12" t="str">
        <f t="shared" ca="1" si="124"/>
        <v/>
      </c>
      <c r="P246" s="12" t="str">
        <f t="shared" ca="1" si="125"/>
        <v/>
      </c>
      <c r="Q246" s="178">
        <f t="shared" ca="1" si="155"/>
        <v>5000000</v>
      </c>
      <c r="R246" s="178">
        <f t="shared" ca="1" si="155"/>
        <v>0</v>
      </c>
      <c r="S246" s="178">
        <f t="shared" ca="1" si="155"/>
        <v>358488</v>
      </c>
      <c r="T246" s="178">
        <f t="shared" ca="1" si="155"/>
        <v>628000</v>
      </c>
      <c r="U246" s="179" t="str">
        <f t="shared" ca="1" si="126"/>
        <v/>
      </c>
      <c r="V246" s="180">
        <f t="shared" ca="1" si="118"/>
        <v>1.66</v>
      </c>
      <c r="W246" s="181">
        <f t="shared" ca="1" si="145"/>
        <v>84</v>
      </c>
      <c r="X246" s="177">
        <f t="shared" ca="1" si="127"/>
        <v>11357.644640064103</v>
      </c>
      <c r="Y246" s="12">
        <f t="shared" ca="1" si="128"/>
        <v>3153.0324605769242</v>
      </c>
      <c r="Z246" s="182">
        <f t="shared" ca="1" si="129"/>
        <v>680982.81089743623</v>
      </c>
      <c r="AA246" s="271">
        <f t="shared" ca="1" si="146"/>
        <v>0.22</v>
      </c>
      <c r="AB246" s="12">
        <f t="shared" ca="1" si="130"/>
        <v>10702.197498737158</v>
      </c>
      <c r="AC246" s="12">
        <f t="shared" ca="1" si="131"/>
        <v>10702.19749873718</v>
      </c>
      <c r="AD246" s="199"/>
      <c r="AE246" s="273">
        <f t="shared" ca="1" si="132"/>
        <v>1.6821425527395739E-3</v>
      </c>
      <c r="AF246" s="184">
        <f t="shared" ca="1" si="133"/>
        <v>0.68123262423988551</v>
      </c>
      <c r="AG246" s="12">
        <f t="shared" ca="1" si="134"/>
        <v>7290.6860871982526</v>
      </c>
      <c r="AH246" s="12">
        <f t="shared" ca="1" si="135"/>
        <v>7290.6860871982672</v>
      </c>
      <c r="AI246" s="185">
        <f t="shared" ca="1" si="136"/>
        <v>49</v>
      </c>
      <c r="AJ246" s="177">
        <f t="shared" ca="1" si="137"/>
        <v>49</v>
      </c>
      <c r="AK246" s="12">
        <f t="shared" ca="1" si="138"/>
        <v>-11406.644640064085</v>
      </c>
      <c r="AL246" s="185">
        <f t="shared" ca="1" si="147"/>
        <v>11357.644640064085</v>
      </c>
      <c r="AM246" s="177">
        <f t="shared" ca="1" si="148"/>
        <v>11395.180740785238</v>
      </c>
      <c r="AN246" s="177">
        <f t="shared" ca="1" si="149"/>
        <v>9900.3817777812583</v>
      </c>
      <c r="AO246" s="196">
        <f t="shared" ca="1" si="150"/>
        <v>84</v>
      </c>
      <c r="AP246" s="196">
        <f t="shared" ca="1" si="151"/>
        <v>71</v>
      </c>
      <c r="AQ246" s="177">
        <f t="shared" ca="1" si="152"/>
        <v>0</v>
      </c>
      <c r="AR246" s="177">
        <f t="shared" ca="1" si="153"/>
        <v>37.536100721152252</v>
      </c>
      <c r="AS246" s="189"/>
      <c r="AT246" s="190"/>
      <c r="AU246" s="190"/>
    </row>
    <row r="247" spans="1:47" x14ac:dyDescent="0.6">
      <c r="A247" s="152" t="str">
        <f t="shared" ca="1" si="119"/>
        <v>Februar 2044</v>
      </c>
      <c r="B247" s="191">
        <v>0</v>
      </c>
      <c r="C247" s="270">
        <f t="shared" ca="1" si="139"/>
        <v>5.4899999999999997E-2</v>
      </c>
      <c r="D247" s="192" t="str">
        <f t="shared" ca="1" si="140"/>
        <v/>
      </c>
      <c r="E247" s="193" t="str">
        <f t="shared" ca="1" si="141"/>
        <v/>
      </c>
      <c r="F247" s="194">
        <f t="shared" ca="1" si="142"/>
        <v>49</v>
      </c>
      <c r="G247" s="14">
        <v>230</v>
      </c>
      <c r="H247" s="157">
        <f t="shared" ca="1" si="143"/>
        <v>83</v>
      </c>
      <c r="I247" s="16">
        <f t="shared" ca="1" si="144"/>
        <v>11320.108539342931</v>
      </c>
      <c r="J247" s="16">
        <f t="shared" ca="1" si="120"/>
        <v>3115.4963598557838</v>
      </c>
      <c r="K247" s="158">
        <f t="shared" ca="1" si="121"/>
        <v>8204.6121794871469</v>
      </c>
      <c r="L247" s="158">
        <f t="shared" ca="1" si="122"/>
        <v>672778.19871795201</v>
      </c>
      <c r="M247" s="15">
        <f t="shared" ca="1" si="123"/>
        <v>-1.3642420526593924E-11</v>
      </c>
      <c r="N247" s="16">
        <f ca="1">IF(Y247=0, 0, ROUND(SUM(Y$17:Y247)-SUM(J$17:J247),0))</f>
        <v>0</v>
      </c>
      <c r="O247" s="16" t="str">
        <f t="shared" ca="1" si="124"/>
        <v/>
      </c>
      <c r="P247" s="16">
        <f t="shared" ca="1" si="125"/>
        <v>4320000</v>
      </c>
      <c r="Q247" s="160">
        <f t="shared" ca="1" si="155"/>
        <v>5000000</v>
      </c>
      <c r="R247" s="160">
        <f t="shared" ca="1" si="155"/>
        <v>0</v>
      </c>
      <c r="S247" s="160">
        <f t="shared" ca="1" si="155"/>
        <v>358488</v>
      </c>
      <c r="T247" s="160">
        <f t="shared" ca="1" si="155"/>
        <v>628000</v>
      </c>
      <c r="U247" s="161" t="str">
        <f t="shared" ca="1" si="126"/>
        <v/>
      </c>
      <c r="V247" s="162">
        <f t="shared" ca="1" si="118"/>
        <v>1.65</v>
      </c>
      <c r="W247" s="195">
        <f t="shared" ca="1" si="145"/>
        <v>83</v>
      </c>
      <c r="X247" s="158">
        <f t="shared" ca="1" si="127"/>
        <v>11320.108539342949</v>
      </c>
      <c r="Y247" s="16">
        <f t="shared" ca="1" si="128"/>
        <v>3115.4963598557702</v>
      </c>
      <c r="Z247" s="164">
        <f t="shared" ca="1" si="129"/>
        <v>672778.19871794898</v>
      </c>
      <c r="AA247" s="272">
        <f t="shared" ca="1" si="146"/>
        <v>0.22</v>
      </c>
      <c r="AB247" s="16">
        <f t="shared" ca="1" si="130"/>
        <v>10672.919340174658</v>
      </c>
      <c r="AC247" s="16">
        <f t="shared" ca="1" si="131"/>
        <v>10672.919340174682</v>
      </c>
      <c r="AD247" s="197"/>
      <c r="AE247" s="274">
        <f t="shared" ca="1" si="132"/>
        <v>1.6821425527395739E-3</v>
      </c>
      <c r="AF247" s="166">
        <f t="shared" ca="1" si="133"/>
        <v>0.68008669385433718</v>
      </c>
      <c r="AG247" s="16">
        <f t="shared" ca="1" si="134"/>
        <v>7258.5104278333965</v>
      </c>
      <c r="AH247" s="16">
        <f t="shared" ca="1" si="135"/>
        <v>7258.5104278334129</v>
      </c>
      <c r="AI247" s="168">
        <f t="shared" ca="1" si="136"/>
        <v>49</v>
      </c>
      <c r="AJ247" s="158">
        <f t="shared" ca="1" si="137"/>
        <v>49</v>
      </c>
      <c r="AK247" s="16">
        <f t="shared" ca="1" si="138"/>
        <v>-11369.108539342931</v>
      </c>
      <c r="AL247" s="168">
        <f t="shared" ca="1" si="147"/>
        <v>11320.108539342931</v>
      </c>
      <c r="AM247" s="158">
        <f t="shared" ca="1" si="148"/>
        <v>11357.644640064085</v>
      </c>
      <c r="AN247" s="158">
        <f t="shared" ca="1" si="149"/>
        <v>9879.2407879098737</v>
      </c>
      <c r="AO247" s="169">
        <f t="shared" ca="1" si="150"/>
        <v>83</v>
      </c>
      <c r="AP247" s="169">
        <f t="shared" ca="1" si="151"/>
        <v>71</v>
      </c>
      <c r="AQ247" s="158">
        <f t="shared" ca="1" si="152"/>
        <v>0</v>
      </c>
      <c r="AR247" s="158">
        <f t="shared" ca="1" si="153"/>
        <v>37.536100721154071</v>
      </c>
      <c r="AS247" s="170"/>
      <c r="AT247" s="159"/>
      <c r="AU247" s="159"/>
    </row>
    <row r="248" spans="1:47" x14ac:dyDescent="0.6">
      <c r="A248" s="171" t="str">
        <f t="shared" ca="1" si="119"/>
        <v>Mars 2044</v>
      </c>
      <c r="B248" s="191">
        <v>0</v>
      </c>
      <c r="C248" s="269">
        <f t="shared" ca="1" si="139"/>
        <v>5.4899999999999997E-2</v>
      </c>
      <c r="D248" s="173" t="str">
        <f t="shared" ca="1" si="140"/>
        <v/>
      </c>
      <c r="E248" s="174" t="str">
        <f t="shared" ca="1" si="141"/>
        <v/>
      </c>
      <c r="F248" s="175">
        <f t="shared" ca="1" si="142"/>
        <v>49</v>
      </c>
      <c r="G248" s="10">
        <v>231</v>
      </c>
      <c r="H248" s="176">
        <f t="shared" ca="1" si="143"/>
        <v>82</v>
      </c>
      <c r="I248" s="12">
        <f t="shared" ca="1" si="144"/>
        <v>11282.572438621777</v>
      </c>
      <c r="J248" s="12">
        <f t="shared" ca="1" si="120"/>
        <v>3077.9602591346302</v>
      </c>
      <c r="K248" s="177">
        <f t="shared" ca="1" si="121"/>
        <v>8204.6121794871469</v>
      </c>
      <c r="L248" s="177">
        <f t="shared" ca="1" si="122"/>
        <v>664573.58653846488</v>
      </c>
      <c r="M248" s="11">
        <f t="shared" ca="1" si="123"/>
        <v>-1.4097167877480388E-11</v>
      </c>
      <c r="N248" s="12">
        <f ca="1">IF(Y248=0, 0, ROUND(SUM(Y$17:Y248)-SUM(J$17:J248),0))</f>
        <v>0</v>
      </c>
      <c r="O248" s="12" t="str">
        <f t="shared" ca="1" si="124"/>
        <v/>
      </c>
      <c r="P248" s="12">
        <f t="shared" ca="1" si="125"/>
        <v>4330000</v>
      </c>
      <c r="Q248" s="178">
        <f t="shared" ca="1" si="155"/>
        <v>5000000</v>
      </c>
      <c r="R248" s="178">
        <f t="shared" ca="1" si="155"/>
        <v>0</v>
      </c>
      <c r="S248" s="178">
        <f t="shared" ca="1" si="155"/>
        <v>358488</v>
      </c>
      <c r="T248" s="178">
        <f t="shared" ca="1" si="155"/>
        <v>628000</v>
      </c>
      <c r="U248" s="179" t="str">
        <f t="shared" ca="1" si="126"/>
        <v/>
      </c>
      <c r="V248" s="180">
        <f t="shared" ca="1" si="118"/>
        <v>1.6300000000000001</v>
      </c>
      <c r="W248" s="181">
        <f t="shared" ca="1" si="145"/>
        <v>82</v>
      </c>
      <c r="X248" s="177">
        <f t="shared" ca="1" si="127"/>
        <v>11282.572438621795</v>
      </c>
      <c r="Y248" s="12">
        <f t="shared" ca="1" si="128"/>
        <v>3077.9602591346161</v>
      </c>
      <c r="Z248" s="182">
        <f t="shared" ca="1" si="129"/>
        <v>664573.58653846185</v>
      </c>
      <c r="AA248" s="271">
        <f t="shared" ca="1" si="146"/>
        <v>0.22</v>
      </c>
      <c r="AB248" s="12">
        <f t="shared" ca="1" si="130"/>
        <v>10643.641181612158</v>
      </c>
      <c r="AC248" s="12">
        <f t="shared" ca="1" si="131"/>
        <v>10643.64118161218</v>
      </c>
      <c r="AD248" s="199"/>
      <c r="AE248" s="273">
        <f t="shared" ca="1" si="132"/>
        <v>1.6821425527395739E-3</v>
      </c>
      <c r="AF248" s="184">
        <f t="shared" ca="1" si="133"/>
        <v>0.67894269108705285</v>
      </c>
      <c r="AG248" s="12">
        <f t="shared" ca="1" si="134"/>
        <v>7226.4223868087374</v>
      </c>
      <c r="AH248" s="12">
        <f t="shared" ca="1" si="135"/>
        <v>7226.4223868087529</v>
      </c>
      <c r="AI248" s="185">
        <f t="shared" ca="1" si="136"/>
        <v>49</v>
      </c>
      <c r="AJ248" s="177">
        <f t="shared" ca="1" si="137"/>
        <v>49</v>
      </c>
      <c r="AK248" s="12">
        <f t="shared" ca="1" si="138"/>
        <v>-11331.572438621777</v>
      </c>
      <c r="AL248" s="185">
        <f t="shared" ca="1" si="147"/>
        <v>11282.572438621777</v>
      </c>
      <c r="AM248" s="177">
        <f t="shared" ca="1" si="148"/>
        <v>11320.108539342931</v>
      </c>
      <c r="AN248" s="177">
        <f t="shared" ca="1" si="149"/>
        <v>9858.1279476360396</v>
      </c>
      <c r="AO248" s="196">
        <f t="shared" ca="1" si="150"/>
        <v>82</v>
      </c>
      <c r="AP248" s="196">
        <f t="shared" ca="1" si="151"/>
        <v>70</v>
      </c>
      <c r="AQ248" s="177">
        <f t="shared" ca="1" si="152"/>
        <v>0</v>
      </c>
      <c r="AR248" s="177">
        <f t="shared" ca="1" si="153"/>
        <v>37.536100721154071</v>
      </c>
      <c r="AS248" s="189"/>
      <c r="AT248" s="190"/>
      <c r="AU248" s="190"/>
    </row>
    <row r="249" spans="1:47" x14ac:dyDescent="0.6">
      <c r="A249" s="152" t="str">
        <f t="shared" ca="1" si="119"/>
        <v>April 2044</v>
      </c>
      <c r="B249" s="191">
        <v>0</v>
      </c>
      <c r="C249" s="270">
        <f t="shared" ca="1" si="139"/>
        <v>5.4899999999999997E-2</v>
      </c>
      <c r="D249" s="192" t="str">
        <f t="shared" ca="1" si="140"/>
        <v/>
      </c>
      <c r="E249" s="193" t="str">
        <f t="shared" ca="1" si="141"/>
        <v/>
      </c>
      <c r="F249" s="194">
        <f t="shared" ca="1" si="142"/>
        <v>49</v>
      </c>
      <c r="G249" s="14">
        <v>232</v>
      </c>
      <c r="H249" s="157">
        <f t="shared" ca="1" si="143"/>
        <v>81</v>
      </c>
      <c r="I249" s="16">
        <f t="shared" ca="1" si="144"/>
        <v>11245.036337900623</v>
      </c>
      <c r="J249" s="16">
        <f t="shared" ca="1" si="120"/>
        <v>3040.4241584134766</v>
      </c>
      <c r="K249" s="158">
        <f t="shared" ca="1" si="121"/>
        <v>8204.6121794871469</v>
      </c>
      <c r="L249" s="158">
        <f t="shared" ca="1" si="122"/>
        <v>656368.97435897775</v>
      </c>
      <c r="M249" s="15">
        <f t="shared" ca="1" si="123"/>
        <v>-1.3642420526593924E-11</v>
      </c>
      <c r="N249" s="16">
        <f ca="1">IF(Y249=0, 0, ROUND(SUM(Y$17:Y249)-SUM(J$17:J249),0))</f>
        <v>0</v>
      </c>
      <c r="O249" s="16" t="str">
        <f t="shared" ca="1" si="124"/>
        <v/>
      </c>
      <c r="P249" s="16">
        <f t="shared" ca="1" si="125"/>
        <v>4340000</v>
      </c>
      <c r="Q249" s="160">
        <f t="shared" ca="1" si="155"/>
        <v>5000000</v>
      </c>
      <c r="R249" s="160">
        <f t="shared" ca="1" si="155"/>
        <v>0</v>
      </c>
      <c r="S249" s="160">
        <f t="shared" ca="1" si="155"/>
        <v>358488</v>
      </c>
      <c r="T249" s="160">
        <f t="shared" ca="1" si="155"/>
        <v>628000</v>
      </c>
      <c r="U249" s="161" t="str">
        <f t="shared" ca="1" si="126"/>
        <v/>
      </c>
      <c r="V249" s="162">
        <f t="shared" ca="1" si="118"/>
        <v>1.62</v>
      </c>
      <c r="W249" s="195">
        <f t="shared" ca="1" si="145"/>
        <v>81</v>
      </c>
      <c r="X249" s="158">
        <f t="shared" ca="1" si="127"/>
        <v>11245.036337900643</v>
      </c>
      <c r="Y249" s="16">
        <f t="shared" ca="1" si="128"/>
        <v>3040.4241584134629</v>
      </c>
      <c r="Z249" s="164">
        <f t="shared" ca="1" si="129"/>
        <v>656368.97435897461</v>
      </c>
      <c r="AA249" s="272">
        <f t="shared" ca="1" si="146"/>
        <v>0.22</v>
      </c>
      <c r="AB249" s="16">
        <f t="shared" ca="1" si="130"/>
        <v>10614.363023049658</v>
      </c>
      <c r="AC249" s="16">
        <f t="shared" ca="1" si="131"/>
        <v>10614.363023049682</v>
      </c>
      <c r="AD249" s="197"/>
      <c r="AE249" s="274">
        <f t="shared" ca="1" si="132"/>
        <v>1.6821425527395739E-3</v>
      </c>
      <c r="AF249" s="166">
        <f t="shared" ca="1" si="133"/>
        <v>0.67780061269550385</v>
      </c>
      <c r="AG249" s="16">
        <f t="shared" ca="1" si="134"/>
        <v>7194.4217603955585</v>
      </c>
      <c r="AH249" s="16">
        <f t="shared" ca="1" si="135"/>
        <v>7194.4217603955749</v>
      </c>
      <c r="AI249" s="168">
        <f t="shared" ca="1" si="136"/>
        <v>49</v>
      </c>
      <c r="AJ249" s="158">
        <f t="shared" ca="1" si="137"/>
        <v>49</v>
      </c>
      <c r="AK249" s="16">
        <f t="shared" ca="1" si="138"/>
        <v>-11294.036337900623</v>
      </c>
      <c r="AL249" s="168">
        <f t="shared" ca="1" si="147"/>
        <v>11245.036337900623</v>
      </c>
      <c r="AM249" s="158">
        <f t="shared" ca="1" si="148"/>
        <v>11282.572438621777</v>
      </c>
      <c r="AN249" s="158">
        <f t="shared" ca="1" si="149"/>
        <v>9837.0432666126781</v>
      </c>
      <c r="AO249" s="169">
        <f t="shared" ca="1" si="150"/>
        <v>81</v>
      </c>
      <c r="AP249" s="169">
        <f t="shared" ca="1" si="151"/>
        <v>69</v>
      </c>
      <c r="AQ249" s="158">
        <f t="shared" ca="1" si="152"/>
        <v>0</v>
      </c>
      <c r="AR249" s="158">
        <f t="shared" ca="1" si="153"/>
        <v>37.536100721154071</v>
      </c>
      <c r="AS249" s="170"/>
      <c r="AT249" s="159"/>
      <c r="AU249" s="159"/>
    </row>
    <row r="250" spans="1:47" x14ac:dyDescent="0.6">
      <c r="A250" s="171" t="str">
        <f t="shared" ca="1" si="119"/>
        <v>Mai 2044</v>
      </c>
      <c r="B250" s="191">
        <v>0</v>
      </c>
      <c r="C250" s="269">
        <f t="shared" ca="1" si="139"/>
        <v>5.4899999999999997E-2</v>
      </c>
      <c r="D250" s="173" t="str">
        <f t="shared" ca="1" si="140"/>
        <v/>
      </c>
      <c r="E250" s="174" t="str">
        <f t="shared" ca="1" si="141"/>
        <v/>
      </c>
      <c r="F250" s="175">
        <f t="shared" ca="1" si="142"/>
        <v>49</v>
      </c>
      <c r="G250" s="10">
        <v>233</v>
      </c>
      <c r="H250" s="176">
        <f t="shared" ca="1" si="143"/>
        <v>80</v>
      </c>
      <c r="I250" s="12">
        <f t="shared" ca="1" si="144"/>
        <v>11207.500237179471</v>
      </c>
      <c r="J250" s="12">
        <f t="shared" ca="1" si="120"/>
        <v>3002.8880576923234</v>
      </c>
      <c r="K250" s="177">
        <f t="shared" ca="1" si="121"/>
        <v>8204.6121794871469</v>
      </c>
      <c r="L250" s="177">
        <f t="shared" ca="1" si="122"/>
        <v>648164.36217949062</v>
      </c>
      <c r="M250" s="11">
        <f t="shared" ca="1" si="123"/>
        <v>-1.4551915228366852E-11</v>
      </c>
      <c r="N250" s="12">
        <f ca="1">IF(Y250=0, 0, ROUND(SUM(Y$17:Y250)-SUM(J$17:J250),0))</f>
        <v>0</v>
      </c>
      <c r="O250" s="12" t="str">
        <f t="shared" ca="1" si="124"/>
        <v/>
      </c>
      <c r="P250" s="12">
        <f t="shared" ca="1" si="125"/>
        <v>4350000</v>
      </c>
      <c r="Q250" s="178">
        <f t="shared" ca="1" si="155"/>
        <v>5000000</v>
      </c>
      <c r="R250" s="178">
        <f t="shared" ca="1" si="155"/>
        <v>0</v>
      </c>
      <c r="S250" s="178">
        <f t="shared" ca="1" si="155"/>
        <v>358488</v>
      </c>
      <c r="T250" s="178">
        <f t="shared" ca="1" si="155"/>
        <v>628000</v>
      </c>
      <c r="U250" s="179" t="str">
        <f t="shared" ca="1" si="126"/>
        <v/>
      </c>
      <c r="V250" s="180">
        <f t="shared" ca="1" si="118"/>
        <v>1.61</v>
      </c>
      <c r="W250" s="181">
        <f t="shared" ca="1" si="145"/>
        <v>80</v>
      </c>
      <c r="X250" s="177">
        <f t="shared" ca="1" si="127"/>
        <v>11207.500237179489</v>
      </c>
      <c r="Y250" s="12">
        <f t="shared" ca="1" si="128"/>
        <v>3002.8880576923088</v>
      </c>
      <c r="Z250" s="182">
        <f t="shared" ca="1" si="129"/>
        <v>648164.36217948748</v>
      </c>
      <c r="AA250" s="271">
        <f t="shared" ca="1" si="146"/>
        <v>0.22</v>
      </c>
      <c r="AB250" s="12">
        <f t="shared" ca="1" si="130"/>
        <v>10585.084864487158</v>
      </c>
      <c r="AC250" s="12">
        <f t="shared" ca="1" si="131"/>
        <v>10585.08486448718</v>
      </c>
      <c r="AD250" s="199"/>
      <c r="AE250" s="273">
        <f t="shared" ca="1" si="132"/>
        <v>1.6821425527395739E-3</v>
      </c>
      <c r="AF250" s="184">
        <f t="shared" ca="1" si="133"/>
        <v>0.67666045544261577</v>
      </c>
      <c r="AG250" s="12">
        <f t="shared" ca="1" si="134"/>
        <v>7162.5083453026191</v>
      </c>
      <c r="AH250" s="12">
        <f t="shared" ca="1" si="135"/>
        <v>7162.5083453026346</v>
      </c>
      <c r="AI250" s="185">
        <f t="shared" ca="1" si="136"/>
        <v>49</v>
      </c>
      <c r="AJ250" s="177">
        <f t="shared" ca="1" si="137"/>
        <v>49</v>
      </c>
      <c r="AK250" s="12">
        <f t="shared" ca="1" si="138"/>
        <v>-11256.500237179471</v>
      </c>
      <c r="AL250" s="185">
        <f t="shared" ca="1" si="147"/>
        <v>11207.500237179471</v>
      </c>
      <c r="AM250" s="177">
        <f t="shared" ca="1" si="148"/>
        <v>11245.036337900623</v>
      </c>
      <c r="AN250" s="177">
        <f t="shared" ca="1" si="149"/>
        <v>9815.9867543795735</v>
      </c>
      <c r="AO250" s="196">
        <f t="shared" ca="1" si="150"/>
        <v>80</v>
      </c>
      <c r="AP250" s="196">
        <f t="shared" ca="1" si="151"/>
        <v>69</v>
      </c>
      <c r="AQ250" s="177">
        <f t="shared" ca="1" si="152"/>
        <v>0</v>
      </c>
      <c r="AR250" s="177">
        <f t="shared" ca="1" si="153"/>
        <v>37.536100721152252</v>
      </c>
      <c r="AS250" s="189"/>
      <c r="AT250" s="190"/>
      <c r="AU250" s="190"/>
    </row>
    <row r="251" spans="1:47" x14ac:dyDescent="0.6">
      <c r="A251" s="152" t="str">
        <f t="shared" ca="1" si="119"/>
        <v>Juni 2044</v>
      </c>
      <c r="B251" s="191">
        <v>0</v>
      </c>
      <c r="C251" s="270">
        <f t="shared" ca="1" si="139"/>
        <v>5.4899999999999997E-2</v>
      </c>
      <c r="D251" s="192" t="str">
        <f t="shared" ca="1" si="140"/>
        <v/>
      </c>
      <c r="E251" s="193" t="str">
        <f t="shared" ca="1" si="141"/>
        <v/>
      </c>
      <c r="F251" s="194">
        <f t="shared" ca="1" si="142"/>
        <v>49</v>
      </c>
      <c r="G251" s="14">
        <v>234</v>
      </c>
      <c r="H251" s="157">
        <f t="shared" ca="1" si="143"/>
        <v>79</v>
      </c>
      <c r="I251" s="16">
        <f t="shared" ca="1" si="144"/>
        <v>11169.964136458317</v>
      </c>
      <c r="J251" s="16">
        <f t="shared" ca="1" si="120"/>
        <v>2965.3519569711693</v>
      </c>
      <c r="K251" s="158">
        <f t="shared" ca="1" si="121"/>
        <v>8204.6121794871469</v>
      </c>
      <c r="L251" s="158">
        <f t="shared" ca="1" si="122"/>
        <v>639959.75000000349</v>
      </c>
      <c r="M251" s="15">
        <f t="shared" ca="1" si="123"/>
        <v>-1.4097167877480388E-11</v>
      </c>
      <c r="N251" s="16">
        <f ca="1">IF(Y251=0, 0, ROUND(SUM(Y$17:Y251)-SUM(J$17:J251),0))</f>
        <v>0</v>
      </c>
      <c r="O251" s="16" t="str">
        <f t="shared" ca="1" si="124"/>
        <v/>
      </c>
      <c r="P251" s="16">
        <f t="shared" ca="1" si="125"/>
        <v>4360000</v>
      </c>
      <c r="Q251" s="160">
        <f t="shared" ca="1" si="155"/>
        <v>5000000</v>
      </c>
      <c r="R251" s="160">
        <f t="shared" ca="1" si="155"/>
        <v>0</v>
      </c>
      <c r="S251" s="160">
        <f t="shared" ca="1" si="155"/>
        <v>358488</v>
      </c>
      <c r="T251" s="160">
        <f t="shared" ca="1" si="155"/>
        <v>628000</v>
      </c>
      <c r="U251" s="161" t="str">
        <f t="shared" ca="1" si="126"/>
        <v/>
      </c>
      <c r="V251" s="162">
        <f t="shared" ca="1" si="118"/>
        <v>1.59</v>
      </c>
      <c r="W251" s="195">
        <f t="shared" ca="1" si="145"/>
        <v>79</v>
      </c>
      <c r="X251" s="158">
        <f t="shared" ca="1" si="127"/>
        <v>11169.964136458335</v>
      </c>
      <c r="Y251" s="16">
        <f t="shared" ca="1" si="128"/>
        <v>2965.3519569711552</v>
      </c>
      <c r="Z251" s="164">
        <f t="shared" ca="1" si="129"/>
        <v>639959.75000000023</v>
      </c>
      <c r="AA251" s="272">
        <f t="shared" ca="1" si="146"/>
        <v>0.22</v>
      </c>
      <c r="AB251" s="16">
        <f t="shared" ca="1" si="130"/>
        <v>10555.806705924659</v>
      </c>
      <c r="AC251" s="16">
        <f t="shared" ca="1" si="131"/>
        <v>10555.806705924681</v>
      </c>
      <c r="AD251" s="197"/>
      <c r="AE251" s="274">
        <f t="shared" ca="1" si="132"/>
        <v>1.6821425527395739E-3</v>
      </c>
      <c r="AF251" s="166">
        <f t="shared" ca="1" si="133"/>
        <v>0.67552221609675955</v>
      </c>
      <c r="AG251" s="16">
        <f t="shared" ca="1" si="134"/>
        <v>7130.6819386752613</v>
      </c>
      <c r="AH251" s="16">
        <f t="shared" ca="1" si="135"/>
        <v>7130.6819386752759</v>
      </c>
      <c r="AI251" s="168">
        <f t="shared" ca="1" si="136"/>
        <v>49</v>
      </c>
      <c r="AJ251" s="158">
        <f t="shared" ca="1" si="137"/>
        <v>49</v>
      </c>
      <c r="AK251" s="16">
        <f t="shared" ca="1" si="138"/>
        <v>-11218.964136458317</v>
      </c>
      <c r="AL251" s="168">
        <f t="shared" ca="1" si="147"/>
        <v>11169.964136458317</v>
      </c>
      <c r="AM251" s="158">
        <f t="shared" ca="1" si="148"/>
        <v>11207.500237179471</v>
      </c>
      <c r="AN251" s="158">
        <f t="shared" ca="1" si="149"/>
        <v>9794.9584203632312</v>
      </c>
      <c r="AO251" s="169">
        <f t="shared" ca="1" si="150"/>
        <v>79</v>
      </c>
      <c r="AP251" s="169">
        <f t="shared" ca="1" si="151"/>
        <v>68</v>
      </c>
      <c r="AQ251" s="158">
        <f t="shared" ca="1" si="152"/>
        <v>0</v>
      </c>
      <c r="AR251" s="158">
        <f t="shared" ca="1" si="153"/>
        <v>37.536100721154071</v>
      </c>
      <c r="AS251" s="170"/>
      <c r="AT251" s="159"/>
      <c r="AU251" s="159"/>
    </row>
    <row r="252" spans="1:47" x14ac:dyDescent="0.6">
      <c r="A252" s="171" t="str">
        <f t="shared" ca="1" si="119"/>
        <v>Juli 2044</v>
      </c>
      <c r="B252" s="191">
        <v>0</v>
      </c>
      <c r="C252" s="269">
        <f t="shared" ca="1" si="139"/>
        <v>5.4899999999999997E-2</v>
      </c>
      <c r="D252" s="173" t="str">
        <f t="shared" ca="1" si="140"/>
        <v/>
      </c>
      <c r="E252" s="174" t="str">
        <f t="shared" ca="1" si="141"/>
        <v/>
      </c>
      <c r="F252" s="175">
        <f t="shared" ca="1" si="142"/>
        <v>49</v>
      </c>
      <c r="G252" s="10">
        <v>235</v>
      </c>
      <c r="H252" s="176">
        <f t="shared" ca="1" si="143"/>
        <v>78</v>
      </c>
      <c r="I252" s="12">
        <f t="shared" ca="1" si="144"/>
        <v>11132.428035737163</v>
      </c>
      <c r="J252" s="12">
        <f t="shared" ca="1" si="120"/>
        <v>2927.8158562500157</v>
      </c>
      <c r="K252" s="177">
        <f t="shared" ca="1" si="121"/>
        <v>8204.6121794871469</v>
      </c>
      <c r="L252" s="177">
        <f t="shared" ca="1" si="122"/>
        <v>631755.13782051636</v>
      </c>
      <c r="M252" s="11">
        <f t="shared" ca="1" si="123"/>
        <v>-1.4551915228366852E-11</v>
      </c>
      <c r="N252" s="12">
        <f ca="1">IF(Y252=0, 0, ROUND(SUM(Y$17:Y252)-SUM(J$17:J252),0))</f>
        <v>0</v>
      </c>
      <c r="O252" s="12" t="str">
        <f t="shared" ca="1" si="124"/>
        <v/>
      </c>
      <c r="P252" s="12" t="str">
        <f t="shared" ca="1" si="125"/>
        <v/>
      </c>
      <c r="Q252" s="178">
        <f t="shared" ca="1" si="155"/>
        <v>5000000</v>
      </c>
      <c r="R252" s="178">
        <f t="shared" ca="1" si="155"/>
        <v>0</v>
      </c>
      <c r="S252" s="178">
        <f t="shared" ca="1" si="155"/>
        <v>358488</v>
      </c>
      <c r="T252" s="178">
        <f t="shared" ca="1" si="155"/>
        <v>628000</v>
      </c>
      <c r="U252" s="179" t="str">
        <f t="shared" ca="1" si="126"/>
        <v/>
      </c>
      <c r="V252" s="180">
        <f t="shared" ca="1" si="118"/>
        <v>1.58</v>
      </c>
      <c r="W252" s="181">
        <f t="shared" ca="1" si="145"/>
        <v>78</v>
      </c>
      <c r="X252" s="177">
        <f t="shared" ca="1" si="127"/>
        <v>11132.428035737181</v>
      </c>
      <c r="Y252" s="12">
        <f t="shared" ca="1" si="128"/>
        <v>2927.8158562500012</v>
      </c>
      <c r="Z252" s="182">
        <f t="shared" ca="1" si="129"/>
        <v>631755.1378205131</v>
      </c>
      <c r="AA252" s="271">
        <f t="shared" ca="1" si="146"/>
        <v>0.22</v>
      </c>
      <c r="AB252" s="12">
        <f t="shared" ca="1" si="130"/>
        <v>10526.528547362159</v>
      </c>
      <c r="AC252" s="12">
        <f t="shared" ca="1" si="131"/>
        <v>10526.528547362181</v>
      </c>
      <c r="AD252" s="199"/>
      <c r="AE252" s="273">
        <f t="shared" ca="1" si="132"/>
        <v>1.6821425527395739E-3</v>
      </c>
      <c r="AF252" s="184">
        <f t="shared" ca="1" si="133"/>
        <v>0.67438589143174221</v>
      </c>
      <c r="AG252" s="12">
        <f t="shared" ca="1" si="134"/>
        <v>7098.9423380945118</v>
      </c>
      <c r="AH252" s="12">
        <f t="shared" ca="1" si="135"/>
        <v>7098.9423380945263</v>
      </c>
      <c r="AI252" s="185">
        <f t="shared" ca="1" si="136"/>
        <v>49</v>
      </c>
      <c r="AJ252" s="177">
        <f t="shared" ca="1" si="137"/>
        <v>49</v>
      </c>
      <c r="AK252" s="12">
        <f t="shared" ca="1" si="138"/>
        <v>-11181.428035737163</v>
      </c>
      <c r="AL252" s="185">
        <f t="shared" ca="1" si="147"/>
        <v>11132.428035737163</v>
      </c>
      <c r="AM252" s="177">
        <f t="shared" ca="1" si="148"/>
        <v>11169.964136458317</v>
      </c>
      <c r="AN252" s="177">
        <f t="shared" ca="1" si="149"/>
        <v>9773.958273876744</v>
      </c>
      <c r="AO252" s="196">
        <f t="shared" ca="1" si="150"/>
        <v>78</v>
      </c>
      <c r="AP252" s="196">
        <f t="shared" ca="1" si="151"/>
        <v>67</v>
      </c>
      <c r="AQ252" s="177">
        <f t="shared" ca="1" si="152"/>
        <v>0</v>
      </c>
      <c r="AR252" s="177">
        <f t="shared" ca="1" si="153"/>
        <v>37.536100721154071</v>
      </c>
      <c r="AS252" s="189"/>
      <c r="AT252" s="190"/>
      <c r="AU252" s="190"/>
    </row>
    <row r="253" spans="1:47" x14ac:dyDescent="0.6">
      <c r="A253" s="152" t="str">
        <f t="shared" ca="1" si="119"/>
        <v>August 2044</v>
      </c>
      <c r="B253" s="191">
        <v>0</v>
      </c>
      <c r="C253" s="270">
        <f t="shared" ca="1" si="139"/>
        <v>5.4899999999999997E-2</v>
      </c>
      <c r="D253" s="192" t="str">
        <f t="shared" ca="1" si="140"/>
        <v/>
      </c>
      <c r="E253" s="193" t="str">
        <f t="shared" ca="1" si="141"/>
        <v/>
      </c>
      <c r="F253" s="194">
        <f t="shared" ca="1" si="142"/>
        <v>49</v>
      </c>
      <c r="G253" s="14">
        <v>236</v>
      </c>
      <c r="H253" s="157">
        <f t="shared" ca="1" si="143"/>
        <v>77</v>
      </c>
      <c r="I253" s="16">
        <f t="shared" ca="1" si="144"/>
        <v>11094.891935016009</v>
      </c>
      <c r="J253" s="16">
        <f t="shared" ca="1" si="120"/>
        <v>2890.2797555288621</v>
      </c>
      <c r="K253" s="158">
        <f t="shared" ca="1" si="121"/>
        <v>8204.6121794871469</v>
      </c>
      <c r="L253" s="158">
        <f t="shared" ca="1" si="122"/>
        <v>623550.52564102923</v>
      </c>
      <c r="M253" s="15">
        <f t="shared" ca="1" si="123"/>
        <v>-1.5006662579253316E-11</v>
      </c>
      <c r="N253" s="16">
        <f ca="1">IF(Y253=0, 0, ROUND(SUM(Y$17:Y253)-SUM(J$17:J253),0))</f>
        <v>0</v>
      </c>
      <c r="O253" s="16" t="str">
        <f t="shared" ca="1" si="124"/>
        <v/>
      </c>
      <c r="P253" s="16">
        <f t="shared" ca="1" si="125"/>
        <v>4370000</v>
      </c>
      <c r="Q253" s="160">
        <f t="shared" ca="1" si="155"/>
        <v>5000000</v>
      </c>
      <c r="R253" s="160">
        <f t="shared" ca="1" si="155"/>
        <v>0</v>
      </c>
      <c r="S253" s="160">
        <f t="shared" ca="1" si="155"/>
        <v>358488</v>
      </c>
      <c r="T253" s="160">
        <f t="shared" ca="1" si="155"/>
        <v>628000</v>
      </c>
      <c r="U253" s="161" t="str">
        <f t="shared" ca="1" si="126"/>
        <v/>
      </c>
      <c r="V253" s="162">
        <f t="shared" ca="1" si="118"/>
        <v>1.57</v>
      </c>
      <c r="W253" s="195">
        <f t="shared" ca="1" si="145"/>
        <v>77</v>
      </c>
      <c r="X253" s="158">
        <f t="shared" ca="1" si="127"/>
        <v>11094.891935016027</v>
      </c>
      <c r="Y253" s="16">
        <f t="shared" ca="1" si="128"/>
        <v>2890.2797555288471</v>
      </c>
      <c r="Z253" s="164">
        <f t="shared" ca="1" si="129"/>
        <v>623550.52564102598</v>
      </c>
      <c r="AA253" s="272">
        <f t="shared" ca="1" si="146"/>
        <v>0.22</v>
      </c>
      <c r="AB253" s="16">
        <f t="shared" ca="1" si="130"/>
        <v>10497.250388799659</v>
      </c>
      <c r="AC253" s="16">
        <f t="shared" ca="1" si="131"/>
        <v>10497.250388799681</v>
      </c>
      <c r="AD253" s="197"/>
      <c r="AE253" s="274">
        <f t="shared" ca="1" si="132"/>
        <v>1.6821425527395739E-3</v>
      </c>
      <c r="AF253" s="166">
        <f t="shared" ca="1" si="133"/>
        <v>0.67325147822679765</v>
      </c>
      <c r="AG253" s="16">
        <f t="shared" ca="1" si="134"/>
        <v>7067.2893415761964</v>
      </c>
      <c r="AH253" s="16">
        <f t="shared" ca="1" si="135"/>
        <v>7067.2893415762119</v>
      </c>
      <c r="AI253" s="168">
        <f t="shared" ca="1" si="136"/>
        <v>49</v>
      </c>
      <c r="AJ253" s="158">
        <f t="shared" ca="1" si="137"/>
        <v>49</v>
      </c>
      <c r="AK253" s="16">
        <f t="shared" ca="1" si="138"/>
        <v>-11143.891935016009</v>
      </c>
      <c r="AL253" s="168">
        <f t="shared" ca="1" si="147"/>
        <v>11094.891935016009</v>
      </c>
      <c r="AM253" s="158">
        <f t="shared" ca="1" si="148"/>
        <v>11132.428035737163</v>
      </c>
      <c r="AN253" s="158">
        <f t="shared" ca="1" si="149"/>
        <v>9752.9863241196545</v>
      </c>
      <c r="AO253" s="169">
        <f t="shared" ca="1" si="150"/>
        <v>77</v>
      </c>
      <c r="AP253" s="169">
        <f t="shared" ca="1" si="151"/>
        <v>66</v>
      </c>
      <c r="AQ253" s="158">
        <f t="shared" ca="1" si="152"/>
        <v>0</v>
      </c>
      <c r="AR253" s="158">
        <f t="shared" ca="1" si="153"/>
        <v>37.536100721154071</v>
      </c>
      <c r="AS253" s="170"/>
      <c r="AT253" s="159"/>
      <c r="AU253" s="159"/>
    </row>
    <row r="254" spans="1:47" x14ac:dyDescent="0.6">
      <c r="A254" s="171" t="str">
        <f t="shared" ca="1" si="119"/>
        <v>September 2044</v>
      </c>
      <c r="B254" s="191">
        <v>0</v>
      </c>
      <c r="C254" s="269">
        <f t="shared" ca="1" si="139"/>
        <v>5.4899999999999997E-2</v>
      </c>
      <c r="D254" s="173" t="str">
        <f t="shared" ca="1" si="140"/>
        <v/>
      </c>
      <c r="E254" s="174" t="str">
        <f t="shared" ca="1" si="141"/>
        <v/>
      </c>
      <c r="F254" s="175">
        <f t="shared" ca="1" si="142"/>
        <v>49</v>
      </c>
      <c r="G254" s="10">
        <v>237</v>
      </c>
      <c r="H254" s="176">
        <f t="shared" ca="1" si="143"/>
        <v>76</v>
      </c>
      <c r="I254" s="12">
        <f t="shared" ca="1" si="144"/>
        <v>11057.355834294856</v>
      </c>
      <c r="J254" s="12">
        <f t="shared" ca="1" si="120"/>
        <v>2852.7436548077089</v>
      </c>
      <c r="K254" s="177">
        <f t="shared" ca="1" si="121"/>
        <v>8204.6121794871469</v>
      </c>
      <c r="L254" s="177">
        <f t="shared" ca="1" si="122"/>
        <v>615345.91346154211</v>
      </c>
      <c r="M254" s="11">
        <f t="shared" ca="1" si="123"/>
        <v>-1.546140993013978E-11</v>
      </c>
      <c r="N254" s="12">
        <f ca="1">IF(Y254=0, 0, ROUND(SUM(Y$17:Y254)-SUM(J$17:J254),0))</f>
        <v>0</v>
      </c>
      <c r="O254" s="12" t="str">
        <f t="shared" ca="1" si="124"/>
        <v/>
      </c>
      <c r="P254" s="12">
        <f t="shared" ca="1" si="125"/>
        <v>4380000</v>
      </c>
      <c r="Q254" s="178">
        <f t="shared" ca="1" si="155"/>
        <v>5000000</v>
      </c>
      <c r="R254" s="178">
        <f t="shared" ca="1" si="155"/>
        <v>0</v>
      </c>
      <c r="S254" s="178">
        <f t="shared" ca="1" si="155"/>
        <v>358488</v>
      </c>
      <c r="T254" s="178">
        <f t="shared" ca="1" si="155"/>
        <v>628000</v>
      </c>
      <c r="U254" s="179" t="str">
        <f t="shared" ca="1" si="126"/>
        <v/>
      </c>
      <c r="V254" s="180">
        <f t="shared" ca="1" si="118"/>
        <v>1.56</v>
      </c>
      <c r="W254" s="181">
        <f t="shared" ca="1" si="145"/>
        <v>76</v>
      </c>
      <c r="X254" s="177">
        <f t="shared" ca="1" si="127"/>
        <v>11057.355834294873</v>
      </c>
      <c r="Y254" s="12">
        <f t="shared" ca="1" si="128"/>
        <v>2852.7436548076935</v>
      </c>
      <c r="Z254" s="182">
        <f t="shared" ca="1" si="129"/>
        <v>615345.91346153873</v>
      </c>
      <c r="AA254" s="271">
        <f t="shared" ca="1" si="146"/>
        <v>0.22</v>
      </c>
      <c r="AB254" s="12">
        <f t="shared" ca="1" si="130"/>
        <v>10467.972230237159</v>
      </c>
      <c r="AC254" s="12">
        <f t="shared" ca="1" si="131"/>
        <v>10467.972230237181</v>
      </c>
      <c r="AD254" s="199"/>
      <c r="AE254" s="273">
        <f t="shared" ca="1" si="132"/>
        <v>1.6821425527395739E-3</v>
      </c>
      <c r="AF254" s="184">
        <f t="shared" ca="1" si="133"/>
        <v>0.67211897326657755</v>
      </c>
      <c r="AG254" s="12">
        <f t="shared" ca="1" si="134"/>
        <v>7035.7227475700456</v>
      </c>
      <c r="AH254" s="12">
        <f t="shared" ca="1" si="135"/>
        <v>7035.7227475700602</v>
      </c>
      <c r="AI254" s="185">
        <f t="shared" ca="1" si="136"/>
        <v>49</v>
      </c>
      <c r="AJ254" s="177">
        <f t="shared" ca="1" si="137"/>
        <v>49</v>
      </c>
      <c r="AK254" s="12">
        <f t="shared" ca="1" si="138"/>
        <v>-11106.355834294856</v>
      </c>
      <c r="AL254" s="185">
        <f t="shared" ca="1" si="147"/>
        <v>11057.355834294856</v>
      </c>
      <c r="AM254" s="177">
        <f t="shared" ca="1" si="148"/>
        <v>11094.891935016009</v>
      </c>
      <c r="AN254" s="177">
        <f t="shared" ca="1" si="149"/>
        <v>9732.0425801778201</v>
      </c>
      <c r="AO254" s="196">
        <f t="shared" ca="1" si="150"/>
        <v>76</v>
      </c>
      <c r="AP254" s="196">
        <f t="shared" ca="1" si="151"/>
        <v>66</v>
      </c>
      <c r="AQ254" s="177">
        <f t="shared" ca="1" si="152"/>
        <v>0</v>
      </c>
      <c r="AR254" s="177">
        <f t="shared" ca="1" si="153"/>
        <v>37.536100721152252</v>
      </c>
      <c r="AS254" s="189"/>
      <c r="AT254" s="190"/>
      <c r="AU254" s="190"/>
    </row>
    <row r="255" spans="1:47" x14ac:dyDescent="0.6">
      <c r="A255" s="152" t="str">
        <f t="shared" ca="1" si="119"/>
        <v>Oktober 2044</v>
      </c>
      <c r="B255" s="191">
        <v>0</v>
      </c>
      <c r="C255" s="270">
        <f t="shared" ca="1" si="139"/>
        <v>5.4899999999999997E-2</v>
      </c>
      <c r="D255" s="192" t="str">
        <f t="shared" ca="1" si="140"/>
        <v/>
      </c>
      <c r="E255" s="193" t="str">
        <f t="shared" ca="1" si="141"/>
        <v/>
      </c>
      <c r="F255" s="194">
        <f t="shared" ca="1" si="142"/>
        <v>49</v>
      </c>
      <c r="G255" s="14">
        <v>238</v>
      </c>
      <c r="H255" s="157">
        <f t="shared" ca="1" si="143"/>
        <v>75</v>
      </c>
      <c r="I255" s="16">
        <f t="shared" ca="1" si="144"/>
        <v>11019.819733573702</v>
      </c>
      <c r="J255" s="16">
        <f t="shared" ca="1" si="120"/>
        <v>2815.2075540865549</v>
      </c>
      <c r="K255" s="158">
        <f t="shared" ca="1" si="121"/>
        <v>8204.6121794871469</v>
      </c>
      <c r="L255" s="158">
        <f t="shared" ca="1" si="122"/>
        <v>607141.30128205498</v>
      </c>
      <c r="M255" s="15">
        <f t="shared" ca="1" si="123"/>
        <v>-1.546140993013978E-11</v>
      </c>
      <c r="N255" s="16">
        <f ca="1">IF(Y255=0, 0, ROUND(SUM(Y$17:Y255)-SUM(J$17:J255),0))</f>
        <v>0</v>
      </c>
      <c r="O255" s="16" t="str">
        <f t="shared" ca="1" si="124"/>
        <v/>
      </c>
      <c r="P255" s="16">
        <f t="shared" ca="1" si="125"/>
        <v>4390000</v>
      </c>
      <c r="Q255" s="160">
        <f t="shared" ca="1" si="155"/>
        <v>5000000</v>
      </c>
      <c r="R255" s="160">
        <f t="shared" ca="1" si="155"/>
        <v>0</v>
      </c>
      <c r="S255" s="160">
        <f t="shared" ca="1" si="155"/>
        <v>358488</v>
      </c>
      <c r="T255" s="160">
        <f t="shared" ca="1" si="155"/>
        <v>628000</v>
      </c>
      <c r="U255" s="161" t="str">
        <f t="shared" ca="1" si="126"/>
        <v/>
      </c>
      <c r="V255" s="162">
        <f t="shared" ca="1" si="118"/>
        <v>1.54</v>
      </c>
      <c r="W255" s="195">
        <f t="shared" ca="1" si="145"/>
        <v>75</v>
      </c>
      <c r="X255" s="158">
        <f t="shared" ca="1" si="127"/>
        <v>11019.819733573719</v>
      </c>
      <c r="Y255" s="16">
        <f t="shared" ca="1" si="128"/>
        <v>2815.2075540865394</v>
      </c>
      <c r="Z255" s="164">
        <f t="shared" ca="1" si="129"/>
        <v>607141.3012820516</v>
      </c>
      <c r="AA255" s="272">
        <f t="shared" ca="1" si="146"/>
        <v>0.22</v>
      </c>
      <c r="AB255" s="16">
        <f t="shared" ca="1" si="130"/>
        <v>10438.694071674659</v>
      </c>
      <c r="AC255" s="16">
        <f t="shared" ca="1" si="131"/>
        <v>10438.694071674679</v>
      </c>
      <c r="AD255" s="197"/>
      <c r="AE255" s="274">
        <f t="shared" ca="1" si="132"/>
        <v>1.6821425527395739E-3</v>
      </c>
      <c r="AF255" s="166">
        <f t="shared" ca="1" si="133"/>
        <v>0.67098837334114225</v>
      </c>
      <c r="AG255" s="16">
        <f t="shared" ca="1" si="134"/>
        <v>7004.2423549588048</v>
      </c>
      <c r="AH255" s="16">
        <f t="shared" ca="1" si="135"/>
        <v>7004.2423549588184</v>
      </c>
      <c r="AI255" s="168">
        <f t="shared" ca="1" si="136"/>
        <v>49</v>
      </c>
      <c r="AJ255" s="158">
        <f t="shared" ca="1" si="137"/>
        <v>49</v>
      </c>
      <c r="AK255" s="16">
        <f t="shared" ca="1" si="138"/>
        <v>-11068.819733573702</v>
      </c>
      <c r="AL255" s="168">
        <f t="shared" ca="1" si="147"/>
        <v>11019.819733573702</v>
      </c>
      <c r="AM255" s="158">
        <f t="shared" ca="1" si="148"/>
        <v>11057.355834294856</v>
      </c>
      <c r="AN255" s="158">
        <f t="shared" ca="1" si="149"/>
        <v>9711.1270510232753</v>
      </c>
      <c r="AO255" s="169">
        <f t="shared" ca="1" si="150"/>
        <v>75</v>
      </c>
      <c r="AP255" s="169">
        <f t="shared" ca="1" si="151"/>
        <v>65</v>
      </c>
      <c r="AQ255" s="158">
        <f t="shared" ca="1" si="152"/>
        <v>0</v>
      </c>
      <c r="AR255" s="158">
        <f t="shared" ca="1" si="153"/>
        <v>37.536100721154071</v>
      </c>
      <c r="AS255" s="170"/>
      <c r="AT255" s="159"/>
      <c r="AU255" s="159"/>
    </row>
    <row r="256" spans="1:47" x14ac:dyDescent="0.6">
      <c r="A256" s="171" t="str">
        <f t="shared" ca="1" si="119"/>
        <v>November 2044</v>
      </c>
      <c r="B256" s="191">
        <v>0</v>
      </c>
      <c r="C256" s="269">
        <f t="shared" ca="1" si="139"/>
        <v>5.4899999999999997E-2</v>
      </c>
      <c r="D256" s="173" t="str">
        <f t="shared" ca="1" si="140"/>
        <v/>
      </c>
      <c r="E256" s="174" t="str">
        <f t="shared" ca="1" si="141"/>
        <v/>
      </c>
      <c r="F256" s="175">
        <f t="shared" ca="1" si="142"/>
        <v>49</v>
      </c>
      <c r="G256" s="10">
        <v>239</v>
      </c>
      <c r="H256" s="176">
        <f t="shared" ca="1" si="143"/>
        <v>74</v>
      </c>
      <c r="I256" s="12">
        <f t="shared" ca="1" si="144"/>
        <v>10982.283632852548</v>
      </c>
      <c r="J256" s="12">
        <f t="shared" ca="1" si="120"/>
        <v>2777.6714533654012</v>
      </c>
      <c r="K256" s="177">
        <f t="shared" ca="1" si="121"/>
        <v>8204.6121794871469</v>
      </c>
      <c r="L256" s="177">
        <f t="shared" ca="1" si="122"/>
        <v>598936.68910256785</v>
      </c>
      <c r="M256" s="11">
        <f t="shared" ca="1" si="123"/>
        <v>-1.5006662579253316E-11</v>
      </c>
      <c r="N256" s="12">
        <f ca="1">IF(Y256=0, 0, ROUND(SUM(Y$17:Y256)-SUM(J$17:J256),0))</f>
        <v>0</v>
      </c>
      <c r="O256" s="12" t="str">
        <f t="shared" ca="1" si="124"/>
        <v/>
      </c>
      <c r="P256" s="12">
        <f t="shared" ca="1" si="125"/>
        <v>4400000</v>
      </c>
      <c r="Q256" s="178">
        <f t="shared" ca="1" si="155"/>
        <v>5000000</v>
      </c>
      <c r="R256" s="178">
        <f t="shared" ca="1" si="155"/>
        <v>0</v>
      </c>
      <c r="S256" s="178">
        <f t="shared" ca="1" si="155"/>
        <v>358488</v>
      </c>
      <c r="T256" s="178">
        <f t="shared" ca="1" si="155"/>
        <v>628000</v>
      </c>
      <c r="U256" s="179" t="str">
        <f t="shared" ca="1" si="126"/>
        <v/>
      </c>
      <c r="V256" s="180">
        <f t="shared" ca="1" si="118"/>
        <v>1.53</v>
      </c>
      <c r="W256" s="181">
        <f t="shared" ca="1" si="145"/>
        <v>74</v>
      </c>
      <c r="X256" s="177">
        <f t="shared" ca="1" si="127"/>
        <v>10982.283632852566</v>
      </c>
      <c r="Y256" s="12">
        <f t="shared" ca="1" si="128"/>
        <v>2777.6714533653862</v>
      </c>
      <c r="Z256" s="182">
        <f t="shared" ca="1" si="129"/>
        <v>598936.68910256436</v>
      </c>
      <c r="AA256" s="271">
        <f t="shared" ca="1" si="146"/>
        <v>0.22</v>
      </c>
      <c r="AB256" s="12">
        <f t="shared" ca="1" si="130"/>
        <v>10409.41591311216</v>
      </c>
      <c r="AC256" s="12">
        <f t="shared" ca="1" si="131"/>
        <v>10409.415913112181</v>
      </c>
      <c r="AD256" s="199"/>
      <c r="AE256" s="273">
        <f t="shared" ca="1" si="132"/>
        <v>1.6821425527395739E-3</v>
      </c>
      <c r="AF256" s="184">
        <f t="shared" ca="1" si="133"/>
        <v>0.66985967524595158</v>
      </c>
      <c r="AG256" s="12">
        <f t="shared" ca="1" si="134"/>
        <v>6972.847963057352</v>
      </c>
      <c r="AH256" s="12">
        <f t="shared" ca="1" si="135"/>
        <v>6972.8479630573665</v>
      </c>
      <c r="AI256" s="185">
        <f t="shared" ca="1" si="136"/>
        <v>49</v>
      </c>
      <c r="AJ256" s="177">
        <f t="shared" ca="1" si="137"/>
        <v>49</v>
      </c>
      <c r="AK256" s="12">
        <f t="shared" ca="1" si="138"/>
        <v>-11031.283632852548</v>
      </c>
      <c r="AL256" s="185">
        <f t="shared" ca="1" si="147"/>
        <v>10982.283632852548</v>
      </c>
      <c r="AM256" s="177">
        <f t="shared" ca="1" si="148"/>
        <v>11019.819733573702</v>
      </c>
      <c r="AN256" s="177">
        <f t="shared" ca="1" si="149"/>
        <v>9690.2397455141054</v>
      </c>
      <c r="AO256" s="196">
        <f t="shared" ca="1" si="150"/>
        <v>74</v>
      </c>
      <c r="AP256" s="196">
        <f t="shared" ca="1" si="151"/>
        <v>64</v>
      </c>
      <c r="AQ256" s="177">
        <f t="shared" ca="1" si="152"/>
        <v>0</v>
      </c>
      <c r="AR256" s="177">
        <f t="shared" ca="1" si="153"/>
        <v>37.536100721154071</v>
      </c>
      <c r="AS256" s="189"/>
      <c r="AT256" s="190"/>
      <c r="AU256" s="190"/>
    </row>
    <row r="257" spans="1:47" x14ac:dyDescent="0.6">
      <c r="A257" s="152" t="str">
        <f t="shared" ca="1" si="119"/>
        <v>Desember 2044</v>
      </c>
      <c r="B257" s="191">
        <v>0</v>
      </c>
      <c r="C257" s="270">
        <f t="shared" ca="1" si="139"/>
        <v>5.4899999999999997E-2</v>
      </c>
      <c r="D257" s="192" t="str">
        <f t="shared" ca="1" si="140"/>
        <v/>
      </c>
      <c r="E257" s="193" t="str">
        <f t="shared" ca="1" si="141"/>
        <v/>
      </c>
      <c r="F257" s="194">
        <f t="shared" ca="1" si="142"/>
        <v>49</v>
      </c>
      <c r="G257" s="14">
        <v>240</v>
      </c>
      <c r="H257" s="157">
        <f t="shared" ca="1" si="143"/>
        <v>73</v>
      </c>
      <c r="I257" s="16">
        <f t="shared" ca="1" si="144"/>
        <v>10944.747532131394</v>
      </c>
      <c r="J257" s="16">
        <f t="shared" ca="1" si="120"/>
        <v>2740.1353526442476</v>
      </c>
      <c r="K257" s="158">
        <f t="shared" ca="1" si="121"/>
        <v>8204.6121794871469</v>
      </c>
      <c r="L257" s="158">
        <f t="shared" ca="1" si="122"/>
        <v>590732.07692308072</v>
      </c>
      <c r="M257" s="15">
        <f t="shared" ca="1" si="123"/>
        <v>-1.546140993013978E-11</v>
      </c>
      <c r="N257" s="16">
        <f ca="1">IF(Y257=0, 0, ROUND(SUM(Y$17:Y257)-SUM(J$17:J257),0))</f>
        <v>0</v>
      </c>
      <c r="O257" s="16" t="str">
        <f t="shared" ca="1" si="124"/>
        <v/>
      </c>
      <c r="P257" s="16" t="str">
        <f t="shared" ca="1" si="125"/>
        <v/>
      </c>
      <c r="Q257" s="160">
        <f t="shared" ca="1" si="155"/>
        <v>5000000</v>
      </c>
      <c r="R257" s="160">
        <f t="shared" ca="1" si="155"/>
        <v>0</v>
      </c>
      <c r="S257" s="160">
        <f t="shared" ca="1" si="155"/>
        <v>358488</v>
      </c>
      <c r="T257" s="160">
        <f t="shared" ca="1" si="155"/>
        <v>628000</v>
      </c>
      <c r="U257" s="161" t="str">
        <f t="shared" ca="1" si="126"/>
        <v/>
      </c>
      <c r="V257" s="162">
        <f t="shared" ca="1" si="118"/>
        <v>1.52</v>
      </c>
      <c r="W257" s="195">
        <f t="shared" ca="1" si="145"/>
        <v>73</v>
      </c>
      <c r="X257" s="158">
        <f t="shared" ca="1" si="127"/>
        <v>10944.747532131412</v>
      </c>
      <c r="Y257" s="16">
        <f t="shared" ca="1" si="128"/>
        <v>2740.1353526442322</v>
      </c>
      <c r="Z257" s="164">
        <f t="shared" ca="1" si="129"/>
        <v>590732.07692307723</v>
      </c>
      <c r="AA257" s="272">
        <f t="shared" ca="1" si="146"/>
        <v>0.22</v>
      </c>
      <c r="AB257" s="16">
        <f t="shared" ca="1" si="130"/>
        <v>10380.13775454966</v>
      </c>
      <c r="AC257" s="16">
        <f t="shared" ca="1" si="131"/>
        <v>10380.13775454968</v>
      </c>
      <c r="AD257" s="197"/>
      <c r="AE257" s="274">
        <f t="shared" ca="1" si="132"/>
        <v>1.6821425527395739E-3</v>
      </c>
      <c r="AF257" s="166">
        <f t="shared" ca="1" si="133"/>
        <v>0.66873287578185603</v>
      </c>
      <c r="AG257" s="16">
        <f t="shared" ca="1" si="134"/>
        <v>6941.5393716118115</v>
      </c>
      <c r="AH257" s="16">
        <f t="shared" ca="1" si="135"/>
        <v>6941.5393716118251</v>
      </c>
      <c r="AI257" s="168">
        <f t="shared" ca="1" si="136"/>
        <v>49</v>
      </c>
      <c r="AJ257" s="158">
        <f t="shared" ca="1" si="137"/>
        <v>49</v>
      </c>
      <c r="AK257" s="16">
        <f t="shared" ca="1" si="138"/>
        <v>-10993.747532131394</v>
      </c>
      <c r="AL257" s="168">
        <f t="shared" ca="1" si="147"/>
        <v>10944.747532131394</v>
      </c>
      <c r="AM257" s="158">
        <f t="shared" ca="1" si="148"/>
        <v>10982.283632852548</v>
      </c>
      <c r="AN257" s="158">
        <f t="shared" ca="1" si="149"/>
        <v>9669.3806723943144</v>
      </c>
      <c r="AO257" s="169">
        <f t="shared" ca="1" si="150"/>
        <v>73</v>
      </c>
      <c r="AP257" s="169">
        <f t="shared" ca="1" si="151"/>
        <v>63</v>
      </c>
      <c r="AQ257" s="158">
        <f t="shared" ca="1" si="152"/>
        <v>0</v>
      </c>
      <c r="AR257" s="158">
        <f t="shared" ca="1" si="153"/>
        <v>37.536100721154071</v>
      </c>
      <c r="AS257" s="170"/>
      <c r="AT257" s="159"/>
      <c r="AU257" s="159"/>
    </row>
    <row r="258" spans="1:47" x14ac:dyDescent="0.6">
      <c r="A258" s="171" t="str">
        <f t="shared" ca="1" si="119"/>
        <v>Januar 2045</v>
      </c>
      <c r="B258" s="191">
        <v>0</v>
      </c>
      <c r="C258" s="269">
        <f t="shared" ca="1" si="139"/>
        <v>5.4899999999999997E-2</v>
      </c>
      <c r="D258" s="173" t="str">
        <f t="shared" ca="1" si="140"/>
        <v/>
      </c>
      <c r="E258" s="174" t="str">
        <f t="shared" ca="1" si="141"/>
        <v/>
      </c>
      <c r="F258" s="175">
        <f t="shared" ca="1" si="142"/>
        <v>49</v>
      </c>
      <c r="G258" s="10">
        <v>241</v>
      </c>
      <c r="H258" s="176">
        <f t="shared" ca="1" si="143"/>
        <v>72</v>
      </c>
      <c r="I258" s="12">
        <f t="shared" ca="1" si="144"/>
        <v>10907.21143141024</v>
      </c>
      <c r="J258" s="12">
        <f t="shared" ca="1" si="120"/>
        <v>2702.599251923094</v>
      </c>
      <c r="K258" s="177">
        <f t="shared" ca="1" si="121"/>
        <v>8204.6121794871469</v>
      </c>
      <c r="L258" s="177">
        <f t="shared" ca="1" si="122"/>
        <v>582527.46474359359</v>
      </c>
      <c r="M258" s="11">
        <f t="shared" ca="1" si="123"/>
        <v>-1.5916157281026244E-11</v>
      </c>
      <c r="N258" s="12">
        <f ca="1">IF(Y258=0, 0, ROUND(SUM(Y$17:Y258)-SUM(J$17:J258),0))</f>
        <v>0</v>
      </c>
      <c r="O258" s="12" t="str">
        <f t="shared" ca="1" si="124"/>
        <v/>
      </c>
      <c r="P258" s="12">
        <f t="shared" ca="1" si="125"/>
        <v>4410000</v>
      </c>
      <c r="Q258" s="178">
        <f t="shared" ref="Q258:T277" ca="1" si="156">OFFSET(Q258,-1,0,1,1)</f>
        <v>5000000</v>
      </c>
      <c r="R258" s="178">
        <f t="shared" ca="1" si="156"/>
        <v>0</v>
      </c>
      <c r="S258" s="178">
        <f t="shared" ca="1" si="156"/>
        <v>358488</v>
      </c>
      <c r="T258" s="178">
        <f t="shared" ca="1" si="156"/>
        <v>628000</v>
      </c>
      <c r="U258" s="179" t="str">
        <f t="shared" ca="1" si="126"/>
        <v/>
      </c>
      <c r="V258" s="180">
        <f t="shared" ca="1" si="118"/>
        <v>1.5</v>
      </c>
      <c r="W258" s="181">
        <f t="shared" ca="1" si="145"/>
        <v>72</v>
      </c>
      <c r="X258" s="177">
        <f t="shared" ca="1" si="127"/>
        <v>10907.211431410258</v>
      </c>
      <c r="Y258" s="12">
        <f t="shared" ca="1" si="128"/>
        <v>2702.5992519230781</v>
      </c>
      <c r="Z258" s="182">
        <f t="shared" ca="1" si="129"/>
        <v>582527.46474358998</v>
      </c>
      <c r="AA258" s="271">
        <f t="shared" ca="1" si="146"/>
        <v>0.22</v>
      </c>
      <c r="AB258" s="12">
        <f t="shared" ca="1" si="130"/>
        <v>10350.85959598716</v>
      </c>
      <c r="AC258" s="12">
        <f t="shared" ca="1" si="131"/>
        <v>10350.85959598718</v>
      </c>
      <c r="AD258" s="199"/>
      <c r="AE258" s="273">
        <f t="shared" ca="1" si="132"/>
        <v>1.6821425527395739E-3</v>
      </c>
      <c r="AF258" s="184">
        <f t="shared" ca="1" si="133"/>
        <v>0.66760797175508746</v>
      </c>
      <c r="AG258" s="12">
        <f t="shared" ca="1" si="134"/>
        <v>6910.3163807986721</v>
      </c>
      <c r="AH258" s="12">
        <f t="shared" ca="1" si="135"/>
        <v>6910.3163807986848</v>
      </c>
      <c r="AI258" s="185">
        <f t="shared" ca="1" si="136"/>
        <v>49</v>
      </c>
      <c r="AJ258" s="177">
        <f t="shared" ca="1" si="137"/>
        <v>49</v>
      </c>
      <c r="AK258" s="12">
        <f t="shared" ca="1" si="138"/>
        <v>-10956.21143141024</v>
      </c>
      <c r="AL258" s="185">
        <f t="shared" ca="1" si="147"/>
        <v>10907.21143141024</v>
      </c>
      <c r="AM258" s="177">
        <f t="shared" ca="1" si="148"/>
        <v>10944.747532131394</v>
      </c>
      <c r="AN258" s="177">
        <f t="shared" ca="1" si="149"/>
        <v>9648.5498402936992</v>
      </c>
      <c r="AO258" s="196">
        <f t="shared" ca="1" si="150"/>
        <v>72</v>
      </c>
      <c r="AP258" s="196">
        <f t="shared" ca="1" si="151"/>
        <v>63</v>
      </c>
      <c r="AQ258" s="177">
        <f t="shared" ca="1" si="152"/>
        <v>0</v>
      </c>
      <c r="AR258" s="177">
        <f t="shared" ca="1" si="153"/>
        <v>37.536100721154071</v>
      </c>
      <c r="AS258" s="189"/>
      <c r="AT258" s="190"/>
      <c r="AU258" s="190"/>
    </row>
    <row r="259" spans="1:47" x14ac:dyDescent="0.6">
      <c r="A259" s="152" t="str">
        <f t="shared" ca="1" si="119"/>
        <v>Februar 2045</v>
      </c>
      <c r="B259" s="191">
        <v>0</v>
      </c>
      <c r="C259" s="270">
        <f t="shared" ca="1" si="139"/>
        <v>5.4899999999999997E-2</v>
      </c>
      <c r="D259" s="192" t="str">
        <f t="shared" ca="1" si="140"/>
        <v/>
      </c>
      <c r="E259" s="193" t="str">
        <f t="shared" ca="1" si="141"/>
        <v/>
      </c>
      <c r="F259" s="194">
        <f t="shared" ca="1" si="142"/>
        <v>49</v>
      </c>
      <c r="G259" s="14">
        <v>242</v>
      </c>
      <c r="H259" s="157">
        <f t="shared" ca="1" si="143"/>
        <v>71</v>
      </c>
      <c r="I259" s="16">
        <f t="shared" ca="1" si="144"/>
        <v>10869.675330689088</v>
      </c>
      <c r="J259" s="16">
        <f t="shared" ca="1" si="120"/>
        <v>2665.0631512019404</v>
      </c>
      <c r="K259" s="158">
        <f t="shared" ca="1" si="121"/>
        <v>8204.6121794871469</v>
      </c>
      <c r="L259" s="158">
        <f t="shared" ca="1" si="122"/>
        <v>574322.85256410646</v>
      </c>
      <c r="M259" s="15">
        <f t="shared" ca="1" si="123"/>
        <v>-1.6370904631912708E-11</v>
      </c>
      <c r="N259" s="16">
        <f ca="1">IF(Y259=0, 0, ROUND(SUM(Y$17:Y259)-SUM(J$17:J259),0))</f>
        <v>0</v>
      </c>
      <c r="O259" s="16" t="str">
        <f t="shared" ca="1" si="124"/>
        <v/>
      </c>
      <c r="P259" s="16">
        <f t="shared" ca="1" si="125"/>
        <v>4420000</v>
      </c>
      <c r="Q259" s="160">
        <f t="shared" ca="1" si="156"/>
        <v>5000000</v>
      </c>
      <c r="R259" s="160">
        <f t="shared" ca="1" si="156"/>
        <v>0</v>
      </c>
      <c r="S259" s="160">
        <f t="shared" ca="1" si="156"/>
        <v>358488</v>
      </c>
      <c r="T259" s="160">
        <f t="shared" ca="1" si="156"/>
        <v>628000</v>
      </c>
      <c r="U259" s="161" t="str">
        <f t="shared" ca="1" si="126"/>
        <v/>
      </c>
      <c r="V259" s="162">
        <f t="shared" ca="1" si="118"/>
        <v>1.49</v>
      </c>
      <c r="W259" s="195">
        <f t="shared" ca="1" si="145"/>
        <v>71</v>
      </c>
      <c r="X259" s="158">
        <f t="shared" ca="1" si="127"/>
        <v>10869.675330689104</v>
      </c>
      <c r="Y259" s="16">
        <f t="shared" ca="1" si="128"/>
        <v>2665.063151201924</v>
      </c>
      <c r="Z259" s="164">
        <f t="shared" ca="1" si="129"/>
        <v>574322.85256410285</v>
      </c>
      <c r="AA259" s="272">
        <f t="shared" ca="1" si="146"/>
        <v>0.22</v>
      </c>
      <c r="AB259" s="16">
        <f t="shared" ca="1" si="130"/>
        <v>10321.58143742466</v>
      </c>
      <c r="AC259" s="16">
        <f t="shared" ca="1" si="131"/>
        <v>10321.58143742468</v>
      </c>
      <c r="AD259" s="197"/>
      <c r="AE259" s="274">
        <f t="shared" ca="1" si="132"/>
        <v>1.6821425527395739E-3</v>
      </c>
      <c r="AF259" s="166">
        <f t="shared" ca="1" si="133"/>
        <v>0.6664849599772501</v>
      </c>
      <c r="AG259" s="16">
        <f t="shared" ca="1" si="134"/>
        <v>6879.1787912239024</v>
      </c>
      <c r="AH259" s="16">
        <f t="shared" ca="1" si="135"/>
        <v>6879.1787912239151</v>
      </c>
      <c r="AI259" s="168">
        <f t="shared" ca="1" si="136"/>
        <v>49</v>
      </c>
      <c r="AJ259" s="158">
        <f t="shared" ca="1" si="137"/>
        <v>49</v>
      </c>
      <c r="AK259" s="16">
        <f t="shared" ca="1" si="138"/>
        <v>-10918.675330689088</v>
      </c>
      <c r="AL259" s="168">
        <f t="shared" ca="1" si="147"/>
        <v>10869.675330689088</v>
      </c>
      <c r="AM259" s="158">
        <f t="shared" ca="1" si="148"/>
        <v>10907.21143141024</v>
      </c>
      <c r="AN259" s="158">
        <f t="shared" ca="1" si="149"/>
        <v>9627.7472577277204</v>
      </c>
      <c r="AO259" s="169">
        <f t="shared" ca="1" si="150"/>
        <v>71</v>
      </c>
      <c r="AP259" s="169">
        <f t="shared" ca="1" si="151"/>
        <v>62</v>
      </c>
      <c r="AQ259" s="158">
        <f t="shared" ca="1" si="152"/>
        <v>0</v>
      </c>
      <c r="AR259" s="158">
        <f t="shared" ca="1" si="153"/>
        <v>37.536100721152252</v>
      </c>
      <c r="AS259" s="170"/>
      <c r="AT259" s="159"/>
      <c r="AU259" s="159"/>
    </row>
    <row r="260" spans="1:47" x14ac:dyDescent="0.6">
      <c r="A260" s="171" t="str">
        <f t="shared" ca="1" si="119"/>
        <v>Mars 2045</v>
      </c>
      <c r="B260" s="191">
        <v>0</v>
      </c>
      <c r="C260" s="269">
        <f t="shared" ca="1" si="139"/>
        <v>5.4899999999999997E-2</v>
      </c>
      <c r="D260" s="173" t="str">
        <f t="shared" ca="1" si="140"/>
        <v/>
      </c>
      <c r="E260" s="174" t="str">
        <f t="shared" ca="1" si="141"/>
        <v/>
      </c>
      <c r="F260" s="175">
        <f t="shared" ca="1" si="142"/>
        <v>49</v>
      </c>
      <c r="G260" s="10">
        <v>243</v>
      </c>
      <c r="H260" s="176">
        <f t="shared" ca="1" si="143"/>
        <v>70</v>
      </c>
      <c r="I260" s="12">
        <f t="shared" ca="1" si="144"/>
        <v>10832.139229967934</v>
      </c>
      <c r="J260" s="12">
        <f t="shared" ca="1" si="120"/>
        <v>2627.5270504807872</v>
      </c>
      <c r="K260" s="177">
        <f t="shared" ca="1" si="121"/>
        <v>8204.6121794871469</v>
      </c>
      <c r="L260" s="177">
        <f t="shared" ca="1" si="122"/>
        <v>566118.24038461933</v>
      </c>
      <c r="M260" s="11">
        <f t="shared" ca="1" si="123"/>
        <v>-1.6825651982799172E-11</v>
      </c>
      <c r="N260" s="12">
        <f ca="1">IF(Y260=0, 0, ROUND(SUM(Y$17:Y260)-SUM(J$17:J260),0))</f>
        <v>0</v>
      </c>
      <c r="O260" s="12" t="str">
        <f t="shared" ca="1" si="124"/>
        <v/>
      </c>
      <c r="P260" s="12">
        <f t="shared" ca="1" si="125"/>
        <v>4430000</v>
      </c>
      <c r="Q260" s="178">
        <f t="shared" ca="1" si="156"/>
        <v>5000000</v>
      </c>
      <c r="R260" s="178">
        <f t="shared" ca="1" si="156"/>
        <v>0</v>
      </c>
      <c r="S260" s="178">
        <f t="shared" ca="1" si="156"/>
        <v>358488</v>
      </c>
      <c r="T260" s="178">
        <f t="shared" ca="1" si="156"/>
        <v>628000</v>
      </c>
      <c r="U260" s="179" t="str">
        <f t="shared" ca="1" si="126"/>
        <v/>
      </c>
      <c r="V260" s="180">
        <f t="shared" ca="1" si="118"/>
        <v>1.48</v>
      </c>
      <c r="W260" s="181">
        <f t="shared" ca="1" si="145"/>
        <v>70</v>
      </c>
      <c r="X260" s="177">
        <f t="shared" ca="1" si="127"/>
        <v>10832.13922996795</v>
      </c>
      <c r="Y260" s="12">
        <f t="shared" ca="1" si="128"/>
        <v>2627.5270504807704</v>
      </c>
      <c r="Z260" s="182">
        <f t="shared" ca="1" si="129"/>
        <v>566118.24038461572</v>
      </c>
      <c r="AA260" s="271">
        <f t="shared" ca="1" si="146"/>
        <v>0.22</v>
      </c>
      <c r="AB260" s="12">
        <f t="shared" ca="1" si="130"/>
        <v>10292.30327886216</v>
      </c>
      <c r="AC260" s="12">
        <f t="shared" ca="1" si="131"/>
        <v>10292.30327886218</v>
      </c>
      <c r="AD260" s="199"/>
      <c r="AE260" s="273">
        <f t="shared" ca="1" si="132"/>
        <v>1.6821425527395739E-3</v>
      </c>
      <c r="AF260" s="184">
        <f t="shared" ca="1" si="133"/>
        <v>0.66536383726531145</v>
      </c>
      <c r="AG260" s="12">
        <f t="shared" ca="1" si="134"/>
        <v>6848.1264039220741</v>
      </c>
      <c r="AH260" s="12">
        <f t="shared" ca="1" si="135"/>
        <v>6848.1264039220869</v>
      </c>
      <c r="AI260" s="185">
        <f t="shared" ca="1" si="136"/>
        <v>49</v>
      </c>
      <c r="AJ260" s="177">
        <f t="shared" ca="1" si="137"/>
        <v>49</v>
      </c>
      <c r="AK260" s="12">
        <f t="shared" ca="1" si="138"/>
        <v>-10881.139229967934</v>
      </c>
      <c r="AL260" s="185">
        <f t="shared" ca="1" si="147"/>
        <v>10832.139229967934</v>
      </c>
      <c r="AM260" s="177">
        <f t="shared" ca="1" si="148"/>
        <v>10869.675330689088</v>
      </c>
      <c r="AN260" s="177">
        <f t="shared" ca="1" si="149"/>
        <v>9606.9729330973751</v>
      </c>
      <c r="AO260" s="196">
        <f t="shared" ca="1" si="150"/>
        <v>70</v>
      </c>
      <c r="AP260" s="196">
        <f t="shared" ca="1" si="151"/>
        <v>61</v>
      </c>
      <c r="AQ260" s="177">
        <f t="shared" ca="1" si="152"/>
        <v>0</v>
      </c>
      <c r="AR260" s="177">
        <f t="shared" ca="1" si="153"/>
        <v>37.536100721154071</v>
      </c>
      <c r="AS260" s="189"/>
      <c r="AT260" s="190"/>
      <c r="AU260" s="190"/>
    </row>
    <row r="261" spans="1:47" x14ac:dyDescent="0.6">
      <c r="A261" s="152" t="str">
        <f t="shared" ca="1" si="119"/>
        <v>April 2045</v>
      </c>
      <c r="B261" s="191">
        <v>0</v>
      </c>
      <c r="C261" s="270">
        <f t="shared" ca="1" si="139"/>
        <v>5.4899999999999997E-2</v>
      </c>
      <c r="D261" s="192" t="str">
        <f t="shared" ca="1" si="140"/>
        <v/>
      </c>
      <c r="E261" s="193" t="str">
        <f t="shared" ca="1" si="141"/>
        <v/>
      </c>
      <c r="F261" s="194">
        <f t="shared" ca="1" si="142"/>
        <v>49</v>
      </c>
      <c r="G261" s="14">
        <v>244</v>
      </c>
      <c r="H261" s="157">
        <f t="shared" ca="1" si="143"/>
        <v>69</v>
      </c>
      <c r="I261" s="16">
        <f t="shared" ca="1" si="144"/>
        <v>10794.60312924678</v>
      </c>
      <c r="J261" s="16">
        <f t="shared" ca="1" si="120"/>
        <v>2589.9909497596332</v>
      </c>
      <c r="K261" s="158">
        <f t="shared" ca="1" si="121"/>
        <v>8204.6121794871469</v>
      </c>
      <c r="L261" s="158">
        <f t="shared" ca="1" si="122"/>
        <v>557913.62820513221</v>
      </c>
      <c r="M261" s="15">
        <f t="shared" ca="1" si="123"/>
        <v>-1.6370904631912708E-11</v>
      </c>
      <c r="N261" s="16">
        <f ca="1">IF(Y261=0, 0, ROUND(SUM(Y$17:Y261)-SUM(J$17:J261),0))</f>
        <v>0</v>
      </c>
      <c r="O261" s="16" t="str">
        <f t="shared" ca="1" si="124"/>
        <v/>
      </c>
      <c r="P261" s="16">
        <f t="shared" ca="1" si="125"/>
        <v>4440000</v>
      </c>
      <c r="Q261" s="160">
        <f t="shared" ca="1" si="156"/>
        <v>5000000</v>
      </c>
      <c r="R261" s="160">
        <f t="shared" ca="1" si="156"/>
        <v>0</v>
      </c>
      <c r="S261" s="160">
        <f t="shared" ca="1" si="156"/>
        <v>358488</v>
      </c>
      <c r="T261" s="160">
        <f t="shared" ca="1" si="156"/>
        <v>628000</v>
      </c>
      <c r="U261" s="161" t="str">
        <f t="shared" ca="1" si="126"/>
        <v/>
      </c>
      <c r="V261" s="162">
        <f t="shared" ca="1" si="118"/>
        <v>1.46</v>
      </c>
      <c r="W261" s="195">
        <f t="shared" ca="1" si="145"/>
        <v>69</v>
      </c>
      <c r="X261" s="158">
        <f t="shared" ca="1" si="127"/>
        <v>10794.603129246796</v>
      </c>
      <c r="Y261" s="16">
        <f t="shared" ca="1" si="128"/>
        <v>2589.9909497596168</v>
      </c>
      <c r="Z261" s="164">
        <f t="shared" ca="1" si="129"/>
        <v>557913.62820512848</v>
      </c>
      <c r="AA261" s="272">
        <f t="shared" ca="1" si="146"/>
        <v>0.22</v>
      </c>
      <c r="AB261" s="16">
        <f t="shared" ca="1" si="130"/>
        <v>10263.025120299661</v>
      </c>
      <c r="AC261" s="16">
        <f t="shared" ca="1" si="131"/>
        <v>10263.025120299681</v>
      </c>
      <c r="AD261" s="197"/>
      <c r="AE261" s="274">
        <f t="shared" ca="1" si="132"/>
        <v>1.6821425527395739E-3</v>
      </c>
      <c r="AF261" s="166">
        <f t="shared" ca="1" si="133"/>
        <v>0.66424460044159339</v>
      </c>
      <c r="AG261" s="16">
        <f t="shared" ca="1" si="134"/>
        <v>6817.1590203554842</v>
      </c>
      <c r="AH261" s="16">
        <f t="shared" ca="1" si="135"/>
        <v>6817.159020355497</v>
      </c>
      <c r="AI261" s="168">
        <f t="shared" ca="1" si="136"/>
        <v>49</v>
      </c>
      <c r="AJ261" s="158">
        <f t="shared" ca="1" si="137"/>
        <v>49</v>
      </c>
      <c r="AK261" s="16">
        <f t="shared" ca="1" si="138"/>
        <v>-10843.60312924678</v>
      </c>
      <c r="AL261" s="168">
        <f t="shared" ca="1" si="147"/>
        <v>10794.60312924678</v>
      </c>
      <c r="AM261" s="158">
        <f t="shared" ca="1" si="148"/>
        <v>10832.139229967934</v>
      </c>
      <c r="AN261" s="158">
        <f t="shared" ca="1" si="149"/>
        <v>9586.2268746890732</v>
      </c>
      <c r="AO261" s="169">
        <f t="shared" ca="1" si="150"/>
        <v>69</v>
      </c>
      <c r="AP261" s="169">
        <f t="shared" ca="1" si="151"/>
        <v>60</v>
      </c>
      <c r="AQ261" s="158">
        <f t="shared" ca="1" si="152"/>
        <v>0</v>
      </c>
      <c r="AR261" s="158">
        <f t="shared" ca="1" si="153"/>
        <v>37.536100721154071</v>
      </c>
      <c r="AS261" s="170"/>
      <c r="AT261" s="159"/>
      <c r="AU261" s="159"/>
    </row>
    <row r="262" spans="1:47" x14ac:dyDescent="0.6">
      <c r="A262" s="171" t="str">
        <f t="shared" ca="1" si="119"/>
        <v>Mai 2045</v>
      </c>
      <c r="B262" s="191">
        <v>0</v>
      </c>
      <c r="C262" s="269">
        <f t="shared" ca="1" si="139"/>
        <v>5.4899999999999997E-2</v>
      </c>
      <c r="D262" s="173" t="str">
        <f t="shared" ca="1" si="140"/>
        <v/>
      </c>
      <c r="E262" s="174" t="str">
        <f t="shared" ca="1" si="141"/>
        <v/>
      </c>
      <c r="F262" s="175">
        <f t="shared" ca="1" si="142"/>
        <v>49</v>
      </c>
      <c r="G262" s="10">
        <v>245</v>
      </c>
      <c r="H262" s="176">
        <f t="shared" ca="1" si="143"/>
        <v>68</v>
      </c>
      <c r="I262" s="12">
        <f t="shared" ca="1" si="144"/>
        <v>10757.067028525627</v>
      </c>
      <c r="J262" s="12">
        <f t="shared" ca="1" si="120"/>
        <v>2552.45484903848</v>
      </c>
      <c r="K262" s="177">
        <f t="shared" ca="1" si="121"/>
        <v>8204.6121794871469</v>
      </c>
      <c r="L262" s="177">
        <f t="shared" ca="1" si="122"/>
        <v>549709.01602564508</v>
      </c>
      <c r="M262" s="11">
        <f t="shared" ca="1" si="123"/>
        <v>-1.7280399333685637E-11</v>
      </c>
      <c r="N262" s="12">
        <f ca="1">IF(Y262=0, 0, ROUND(SUM(Y$17:Y262)-SUM(J$17:J262),0))</f>
        <v>0</v>
      </c>
      <c r="O262" s="12" t="str">
        <f t="shared" ca="1" si="124"/>
        <v/>
      </c>
      <c r="P262" s="12">
        <f t="shared" ca="1" si="125"/>
        <v>4450000</v>
      </c>
      <c r="Q262" s="178">
        <f t="shared" ca="1" si="156"/>
        <v>5000000</v>
      </c>
      <c r="R262" s="178">
        <f t="shared" ca="1" si="156"/>
        <v>0</v>
      </c>
      <c r="S262" s="178">
        <f t="shared" ca="1" si="156"/>
        <v>358488</v>
      </c>
      <c r="T262" s="178">
        <f t="shared" ca="1" si="156"/>
        <v>628000</v>
      </c>
      <c r="U262" s="179" t="str">
        <f t="shared" ca="1" si="126"/>
        <v/>
      </c>
      <c r="V262" s="180">
        <f t="shared" ca="1" si="118"/>
        <v>1.45</v>
      </c>
      <c r="W262" s="181">
        <f t="shared" ca="1" si="145"/>
        <v>68</v>
      </c>
      <c r="X262" s="177">
        <f t="shared" ca="1" si="127"/>
        <v>10757.067028525642</v>
      </c>
      <c r="Y262" s="12">
        <f t="shared" ca="1" si="128"/>
        <v>2552.4548490384627</v>
      </c>
      <c r="Z262" s="182">
        <f t="shared" ca="1" si="129"/>
        <v>549709.01602564135</v>
      </c>
      <c r="AA262" s="271">
        <f t="shared" ca="1" si="146"/>
        <v>0.22</v>
      </c>
      <c r="AB262" s="12">
        <f t="shared" ca="1" si="130"/>
        <v>10233.746961737161</v>
      </c>
      <c r="AC262" s="12">
        <f t="shared" ca="1" si="131"/>
        <v>10233.746961737181</v>
      </c>
      <c r="AD262" s="199"/>
      <c r="AE262" s="273">
        <f t="shared" ca="1" si="132"/>
        <v>1.6821425527395739E-3</v>
      </c>
      <c r="AF262" s="184">
        <f t="shared" ca="1" si="133"/>
        <v>0.66312724633376308</v>
      </c>
      <c r="AG262" s="12">
        <f t="shared" ca="1" si="134"/>
        <v>6786.2764424132774</v>
      </c>
      <c r="AH262" s="12">
        <f t="shared" ca="1" si="135"/>
        <v>6786.2764424132911</v>
      </c>
      <c r="AI262" s="185">
        <f t="shared" ca="1" si="136"/>
        <v>49</v>
      </c>
      <c r="AJ262" s="177">
        <f t="shared" ca="1" si="137"/>
        <v>49</v>
      </c>
      <c r="AK262" s="12">
        <f t="shared" ca="1" si="138"/>
        <v>-10806.067028525627</v>
      </c>
      <c r="AL262" s="185">
        <f t="shared" ca="1" si="147"/>
        <v>10757.067028525627</v>
      </c>
      <c r="AM262" s="177">
        <f t="shared" ca="1" si="148"/>
        <v>10794.60312924678</v>
      </c>
      <c r="AN262" s="177">
        <f t="shared" ca="1" si="149"/>
        <v>9565.5090906745245</v>
      </c>
      <c r="AO262" s="196">
        <f t="shared" ca="1" si="150"/>
        <v>68</v>
      </c>
      <c r="AP262" s="196">
        <f t="shared" ca="1" si="151"/>
        <v>60</v>
      </c>
      <c r="AQ262" s="177">
        <f t="shared" ca="1" si="152"/>
        <v>0</v>
      </c>
      <c r="AR262" s="177">
        <f t="shared" ca="1" si="153"/>
        <v>37.536100721152252</v>
      </c>
      <c r="AS262" s="189"/>
      <c r="AT262" s="190"/>
      <c r="AU262" s="190"/>
    </row>
    <row r="263" spans="1:47" x14ac:dyDescent="0.6">
      <c r="A263" s="152" t="str">
        <f t="shared" ca="1" si="119"/>
        <v>Juni 2045</v>
      </c>
      <c r="B263" s="191">
        <v>0</v>
      </c>
      <c r="C263" s="270">
        <f t="shared" ca="1" si="139"/>
        <v>5.4899999999999997E-2</v>
      </c>
      <c r="D263" s="192" t="str">
        <f t="shared" ca="1" si="140"/>
        <v/>
      </c>
      <c r="E263" s="193" t="str">
        <f t="shared" ca="1" si="141"/>
        <v/>
      </c>
      <c r="F263" s="194">
        <f t="shared" ca="1" si="142"/>
        <v>49</v>
      </c>
      <c r="G263" s="14">
        <v>246</v>
      </c>
      <c r="H263" s="157">
        <f t="shared" ca="1" si="143"/>
        <v>67</v>
      </c>
      <c r="I263" s="16">
        <f t="shared" ca="1" si="144"/>
        <v>10719.530927804473</v>
      </c>
      <c r="J263" s="16">
        <f t="shared" ca="1" si="120"/>
        <v>2514.9187483173259</v>
      </c>
      <c r="K263" s="158">
        <f t="shared" ca="1" si="121"/>
        <v>8204.6121794871469</v>
      </c>
      <c r="L263" s="158">
        <f t="shared" ca="1" si="122"/>
        <v>541504.40384615795</v>
      </c>
      <c r="M263" s="15">
        <f t="shared" ca="1" si="123"/>
        <v>-1.6825651982799172E-11</v>
      </c>
      <c r="N263" s="16">
        <f ca="1">IF(Y263=0, 0, ROUND(SUM(Y$17:Y263)-SUM(J$17:J263),0))</f>
        <v>0</v>
      </c>
      <c r="O263" s="16" t="str">
        <f t="shared" ca="1" si="124"/>
        <v/>
      </c>
      <c r="P263" s="16" t="str">
        <f t="shared" ca="1" si="125"/>
        <v/>
      </c>
      <c r="Q263" s="160">
        <f t="shared" ca="1" si="156"/>
        <v>5000000</v>
      </c>
      <c r="R263" s="160">
        <f t="shared" ca="1" si="156"/>
        <v>0</v>
      </c>
      <c r="S263" s="160">
        <f t="shared" ca="1" si="156"/>
        <v>358488</v>
      </c>
      <c r="T263" s="160">
        <f t="shared" ca="1" si="156"/>
        <v>628000</v>
      </c>
      <c r="U263" s="161" t="str">
        <f t="shared" ca="1" si="126"/>
        <v/>
      </c>
      <c r="V263" s="162">
        <f t="shared" ca="1" si="118"/>
        <v>1.44</v>
      </c>
      <c r="W263" s="195">
        <f t="shared" ca="1" si="145"/>
        <v>67</v>
      </c>
      <c r="X263" s="158">
        <f t="shared" ca="1" si="127"/>
        <v>10719.530927804488</v>
      </c>
      <c r="Y263" s="16">
        <f t="shared" ca="1" si="128"/>
        <v>2514.9187483173091</v>
      </c>
      <c r="Z263" s="164">
        <f t="shared" ca="1" si="129"/>
        <v>541504.40384615411</v>
      </c>
      <c r="AA263" s="272">
        <f t="shared" ca="1" si="146"/>
        <v>0.22</v>
      </c>
      <c r="AB263" s="16">
        <f t="shared" ca="1" si="130"/>
        <v>10204.468803174661</v>
      </c>
      <c r="AC263" s="16">
        <f t="shared" ca="1" si="131"/>
        <v>10204.468803174681</v>
      </c>
      <c r="AD263" s="197"/>
      <c r="AE263" s="274">
        <f t="shared" ca="1" si="132"/>
        <v>1.6821425527395739E-3</v>
      </c>
      <c r="AF263" s="166">
        <f t="shared" ca="1" si="133"/>
        <v>0.66201177177482406</v>
      </c>
      <c r="AG263" s="16">
        <f t="shared" ca="1" si="134"/>
        <v>6755.4784724105757</v>
      </c>
      <c r="AH263" s="16">
        <f t="shared" ca="1" si="135"/>
        <v>6755.4784724105893</v>
      </c>
      <c r="AI263" s="168">
        <f t="shared" ca="1" si="136"/>
        <v>49</v>
      </c>
      <c r="AJ263" s="158">
        <f t="shared" ca="1" si="137"/>
        <v>49</v>
      </c>
      <c r="AK263" s="16">
        <f t="shared" ca="1" si="138"/>
        <v>-10768.530927804473</v>
      </c>
      <c r="AL263" s="168">
        <f t="shared" ca="1" si="147"/>
        <v>10719.530927804473</v>
      </c>
      <c r="AM263" s="158">
        <f t="shared" ca="1" si="148"/>
        <v>10757.067028525627</v>
      </c>
      <c r="AN263" s="158">
        <f t="shared" ca="1" si="149"/>
        <v>9544.8195891106097</v>
      </c>
      <c r="AO263" s="169">
        <f t="shared" ca="1" si="150"/>
        <v>67</v>
      </c>
      <c r="AP263" s="169">
        <f t="shared" ca="1" si="151"/>
        <v>59</v>
      </c>
      <c r="AQ263" s="158">
        <f t="shared" ca="1" si="152"/>
        <v>0</v>
      </c>
      <c r="AR263" s="158">
        <f t="shared" ca="1" si="153"/>
        <v>37.536100721154071</v>
      </c>
      <c r="AS263" s="170"/>
      <c r="AT263" s="159"/>
      <c r="AU263" s="159"/>
    </row>
    <row r="264" spans="1:47" x14ac:dyDescent="0.6">
      <c r="A264" s="171" t="str">
        <f t="shared" ca="1" si="119"/>
        <v>Juli 2045</v>
      </c>
      <c r="B264" s="191">
        <v>0</v>
      </c>
      <c r="C264" s="269">
        <f t="shared" ca="1" si="139"/>
        <v>5.4899999999999997E-2</v>
      </c>
      <c r="D264" s="173" t="str">
        <f t="shared" ca="1" si="140"/>
        <v/>
      </c>
      <c r="E264" s="174" t="str">
        <f t="shared" ca="1" si="141"/>
        <v/>
      </c>
      <c r="F264" s="175">
        <f t="shared" ca="1" si="142"/>
        <v>49</v>
      </c>
      <c r="G264" s="10">
        <v>247</v>
      </c>
      <c r="H264" s="176">
        <f t="shared" ca="1" si="143"/>
        <v>66</v>
      </c>
      <c r="I264" s="12">
        <f t="shared" ca="1" si="144"/>
        <v>10681.994827083319</v>
      </c>
      <c r="J264" s="12">
        <f t="shared" ca="1" si="120"/>
        <v>2477.3826475961728</v>
      </c>
      <c r="K264" s="177">
        <f t="shared" ca="1" si="121"/>
        <v>8204.6121794871469</v>
      </c>
      <c r="L264" s="177">
        <f t="shared" ca="1" si="122"/>
        <v>533299.79166667082</v>
      </c>
      <c r="M264" s="11">
        <f t="shared" ca="1" si="123"/>
        <v>-1.7735146684572101E-11</v>
      </c>
      <c r="N264" s="12">
        <f ca="1">IF(Y264=0, 0, ROUND(SUM(Y$17:Y264)-SUM(J$17:J264),0))</f>
        <v>0</v>
      </c>
      <c r="O264" s="12" t="str">
        <f t="shared" ca="1" si="124"/>
        <v/>
      </c>
      <c r="P264" s="12">
        <f t="shared" ca="1" si="125"/>
        <v>4460000</v>
      </c>
      <c r="Q264" s="178">
        <f t="shared" ca="1" si="156"/>
        <v>5000000</v>
      </c>
      <c r="R264" s="178">
        <f t="shared" ca="1" si="156"/>
        <v>0</v>
      </c>
      <c r="S264" s="178">
        <f t="shared" ca="1" si="156"/>
        <v>358488</v>
      </c>
      <c r="T264" s="178">
        <f t="shared" ca="1" si="156"/>
        <v>628000</v>
      </c>
      <c r="U264" s="179" t="str">
        <f t="shared" ca="1" si="126"/>
        <v/>
      </c>
      <c r="V264" s="180">
        <f t="shared" ca="1" si="118"/>
        <v>1.43</v>
      </c>
      <c r="W264" s="181">
        <f t="shared" ca="1" si="145"/>
        <v>66</v>
      </c>
      <c r="X264" s="177">
        <f t="shared" ca="1" si="127"/>
        <v>10681.994827083334</v>
      </c>
      <c r="Y264" s="12">
        <f t="shared" ca="1" si="128"/>
        <v>2477.382647596155</v>
      </c>
      <c r="Z264" s="182">
        <f t="shared" ca="1" si="129"/>
        <v>533299.79166666698</v>
      </c>
      <c r="AA264" s="271">
        <f t="shared" ca="1" si="146"/>
        <v>0.22</v>
      </c>
      <c r="AB264" s="12">
        <f t="shared" ca="1" si="130"/>
        <v>10175.190644612161</v>
      </c>
      <c r="AC264" s="12">
        <f t="shared" ca="1" si="131"/>
        <v>10175.190644612181</v>
      </c>
      <c r="AD264" s="199"/>
      <c r="AE264" s="273">
        <f t="shared" ca="1" si="132"/>
        <v>1.6821425527395739E-3</v>
      </c>
      <c r="AF264" s="184">
        <f t="shared" ca="1" si="133"/>
        <v>0.6608981736031071</v>
      </c>
      <c r="AG264" s="12">
        <f t="shared" ca="1" si="134"/>
        <v>6724.7649130875989</v>
      </c>
      <c r="AH264" s="12">
        <f t="shared" ca="1" si="135"/>
        <v>6724.7649130876125</v>
      </c>
      <c r="AI264" s="185">
        <f t="shared" ca="1" si="136"/>
        <v>49</v>
      </c>
      <c r="AJ264" s="177">
        <f t="shared" ca="1" si="137"/>
        <v>49</v>
      </c>
      <c r="AK264" s="12">
        <f t="shared" ca="1" si="138"/>
        <v>-10730.994827083319</v>
      </c>
      <c r="AL264" s="185">
        <f t="shared" ca="1" si="147"/>
        <v>10681.994827083319</v>
      </c>
      <c r="AM264" s="177">
        <f t="shared" ca="1" si="148"/>
        <v>10719.530927804473</v>
      </c>
      <c r="AN264" s="177">
        <f t="shared" ca="1" si="149"/>
        <v>9524.1583779392604</v>
      </c>
      <c r="AO264" s="196">
        <f t="shared" ca="1" si="150"/>
        <v>66</v>
      </c>
      <c r="AP264" s="196">
        <f t="shared" ca="1" si="151"/>
        <v>58</v>
      </c>
      <c r="AQ264" s="177">
        <f t="shared" ca="1" si="152"/>
        <v>0</v>
      </c>
      <c r="AR264" s="177">
        <f t="shared" ca="1" si="153"/>
        <v>37.536100721154071</v>
      </c>
      <c r="AS264" s="189"/>
      <c r="AT264" s="190"/>
      <c r="AU264" s="190"/>
    </row>
    <row r="265" spans="1:47" x14ac:dyDescent="0.6">
      <c r="A265" s="152" t="str">
        <f t="shared" ca="1" si="119"/>
        <v>August 2045</v>
      </c>
      <c r="B265" s="191">
        <v>0</v>
      </c>
      <c r="C265" s="270">
        <f t="shared" ca="1" si="139"/>
        <v>5.4899999999999997E-2</v>
      </c>
      <c r="D265" s="192" t="str">
        <f t="shared" ca="1" si="140"/>
        <v/>
      </c>
      <c r="E265" s="193" t="str">
        <f t="shared" ca="1" si="141"/>
        <v/>
      </c>
      <c r="F265" s="194">
        <f t="shared" ca="1" si="142"/>
        <v>49</v>
      </c>
      <c r="G265" s="14">
        <v>248</v>
      </c>
      <c r="H265" s="157">
        <f t="shared" ca="1" si="143"/>
        <v>65</v>
      </c>
      <c r="I265" s="16">
        <f t="shared" ca="1" si="144"/>
        <v>10644.458726362165</v>
      </c>
      <c r="J265" s="16">
        <f t="shared" ca="1" si="120"/>
        <v>2439.8465468750187</v>
      </c>
      <c r="K265" s="158">
        <f t="shared" ca="1" si="121"/>
        <v>8204.6121794871469</v>
      </c>
      <c r="L265" s="158">
        <f t="shared" ca="1" si="122"/>
        <v>525095.17948718369</v>
      </c>
      <c r="M265" s="15">
        <f t="shared" ca="1" si="123"/>
        <v>-1.7280399333685637E-11</v>
      </c>
      <c r="N265" s="16">
        <f ca="1">IF(Y265=0, 0, ROUND(SUM(Y$17:Y265)-SUM(J$17:J265),0))</f>
        <v>0</v>
      </c>
      <c r="O265" s="16" t="str">
        <f t="shared" ca="1" si="124"/>
        <v/>
      </c>
      <c r="P265" s="16">
        <f t="shared" ca="1" si="125"/>
        <v>4470000</v>
      </c>
      <c r="Q265" s="160">
        <f t="shared" ca="1" si="156"/>
        <v>5000000</v>
      </c>
      <c r="R265" s="160">
        <f t="shared" ca="1" si="156"/>
        <v>0</v>
      </c>
      <c r="S265" s="160">
        <f t="shared" ca="1" si="156"/>
        <v>358488</v>
      </c>
      <c r="T265" s="160">
        <f t="shared" ca="1" si="156"/>
        <v>628000</v>
      </c>
      <c r="U265" s="161" t="str">
        <f t="shared" ca="1" si="126"/>
        <v/>
      </c>
      <c r="V265" s="162">
        <f t="shared" ca="1" si="118"/>
        <v>1.41</v>
      </c>
      <c r="W265" s="195">
        <f t="shared" ca="1" si="145"/>
        <v>65</v>
      </c>
      <c r="X265" s="158">
        <f t="shared" ca="1" si="127"/>
        <v>10644.458726362182</v>
      </c>
      <c r="Y265" s="16">
        <f t="shared" ca="1" si="128"/>
        <v>2439.8465468750014</v>
      </c>
      <c r="Z265" s="164">
        <f t="shared" ca="1" si="129"/>
        <v>525095.17948717973</v>
      </c>
      <c r="AA265" s="272">
        <f t="shared" ca="1" si="146"/>
        <v>0.22</v>
      </c>
      <c r="AB265" s="16">
        <f t="shared" ca="1" si="130"/>
        <v>10145.912486049661</v>
      </c>
      <c r="AC265" s="16">
        <f t="shared" ca="1" si="131"/>
        <v>10145.912486049681</v>
      </c>
      <c r="AD265" s="197"/>
      <c r="AE265" s="274">
        <f t="shared" ca="1" si="132"/>
        <v>1.6821425527395739E-3</v>
      </c>
      <c r="AF265" s="166">
        <f t="shared" ca="1" si="133"/>
        <v>0.65978644866226144</v>
      </c>
      <c r="AG265" s="16">
        <f t="shared" ca="1" si="134"/>
        <v>6694.1355676088024</v>
      </c>
      <c r="AH265" s="16">
        <f t="shared" ca="1" si="135"/>
        <v>6694.1355676088151</v>
      </c>
      <c r="AI265" s="168">
        <f t="shared" ca="1" si="136"/>
        <v>49</v>
      </c>
      <c r="AJ265" s="158">
        <f t="shared" ca="1" si="137"/>
        <v>49</v>
      </c>
      <c r="AK265" s="16">
        <f t="shared" ca="1" si="138"/>
        <v>-10693.458726362165</v>
      </c>
      <c r="AL265" s="168">
        <f t="shared" ca="1" si="147"/>
        <v>10644.458726362165</v>
      </c>
      <c r="AM265" s="158">
        <f t="shared" ca="1" si="148"/>
        <v>10681.994827083319</v>
      </c>
      <c r="AN265" s="158">
        <f t="shared" ca="1" si="149"/>
        <v>9503.5254649873477</v>
      </c>
      <c r="AO265" s="169">
        <f t="shared" ca="1" si="150"/>
        <v>65</v>
      </c>
      <c r="AP265" s="169">
        <f t="shared" ca="1" si="151"/>
        <v>57</v>
      </c>
      <c r="AQ265" s="158">
        <f t="shared" ca="1" si="152"/>
        <v>0</v>
      </c>
      <c r="AR265" s="158">
        <f t="shared" ca="1" si="153"/>
        <v>37.536100721154071</v>
      </c>
      <c r="AS265" s="170"/>
      <c r="AT265" s="159"/>
      <c r="AU265" s="159"/>
    </row>
    <row r="266" spans="1:47" x14ac:dyDescent="0.6">
      <c r="A266" s="171" t="str">
        <f t="shared" ca="1" si="119"/>
        <v>September 2045</v>
      </c>
      <c r="B266" s="191">
        <v>0</v>
      </c>
      <c r="C266" s="269">
        <f t="shared" ca="1" si="139"/>
        <v>5.4899999999999997E-2</v>
      </c>
      <c r="D266" s="173" t="str">
        <f t="shared" ca="1" si="140"/>
        <v/>
      </c>
      <c r="E266" s="174" t="str">
        <f t="shared" ca="1" si="141"/>
        <v/>
      </c>
      <c r="F266" s="175">
        <f t="shared" ca="1" si="142"/>
        <v>49</v>
      </c>
      <c r="G266" s="10">
        <v>249</v>
      </c>
      <c r="H266" s="176">
        <f t="shared" ca="1" si="143"/>
        <v>64</v>
      </c>
      <c r="I266" s="12">
        <f t="shared" ca="1" si="144"/>
        <v>10606.922625641013</v>
      </c>
      <c r="J266" s="12">
        <f t="shared" ca="1" si="120"/>
        <v>2402.3104461538655</v>
      </c>
      <c r="K266" s="177">
        <f t="shared" ca="1" si="121"/>
        <v>8204.6121794871469</v>
      </c>
      <c r="L266" s="177">
        <f t="shared" ca="1" si="122"/>
        <v>516890.56730769656</v>
      </c>
      <c r="M266" s="11">
        <f t="shared" ca="1" si="123"/>
        <v>-1.8189894035458565E-11</v>
      </c>
      <c r="N266" s="12">
        <f ca="1">IF(Y266=0, 0, ROUND(SUM(Y$17:Y266)-SUM(J$17:J266),0))</f>
        <v>0</v>
      </c>
      <c r="O266" s="12" t="str">
        <f t="shared" ca="1" si="124"/>
        <v/>
      </c>
      <c r="P266" s="12">
        <f t="shared" ca="1" si="125"/>
        <v>4480000</v>
      </c>
      <c r="Q266" s="178">
        <f t="shared" ca="1" si="156"/>
        <v>5000000</v>
      </c>
      <c r="R266" s="178">
        <f t="shared" ca="1" si="156"/>
        <v>0</v>
      </c>
      <c r="S266" s="178">
        <f t="shared" ca="1" si="156"/>
        <v>358488</v>
      </c>
      <c r="T266" s="178">
        <f t="shared" ca="1" si="156"/>
        <v>628000</v>
      </c>
      <c r="U266" s="179" t="str">
        <f t="shared" ca="1" si="126"/>
        <v/>
      </c>
      <c r="V266" s="180">
        <f t="shared" ca="1" si="118"/>
        <v>1.4</v>
      </c>
      <c r="W266" s="181">
        <f t="shared" ca="1" si="145"/>
        <v>64</v>
      </c>
      <c r="X266" s="177">
        <f t="shared" ca="1" si="127"/>
        <v>10606.922625641027</v>
      </c>
      <c r="Y266" s="12">
        <f t="shared" ca="1" si="128"/>
        <v>2402.3104461538474</v>
      </c>
      <c r="Z266" s="182">
        <f t="shared" ca="1" si="129"/>
        <v>516890.56730769255</v>
      </c>
      <c r="AA266" s="271">
        <f t="shared" ca="1" si="146"/>
        <v>0.22</v>
      </c>
      <c r="AB266" s="12">
        <f t="shared" ca="1" si="130"/>
        <v>10116.634327487161</v>
      </c>
      <c r="AC266" s="12">
        <f t="shared" ca="1" si="131"/>
        <v>10116.63432748718</v>
      </c>
      <c r="AD266" s="199"/>
      <c r="AE266" s="273">
        <f t="shared" ca="1" si="132"/>
        <v>1.6821425527395739E-3</v>
      </c>
      <c r="AF266" s="184">
        <f t="shared" ca="1" si="133"/>
        <v>0.65867659380124577</v>
      </c>
      <c r="AG266" s="12">
        <f t="shared" ca="1" si="134"/>
        <v>6663.5902395620005</v>
      </c>
      <c r="AH266" s="12">
        <f t="shared" ca="1" si="135"/>
        <v>6663.5902395620124</v>
      </c>
      <c r="AI266" s="185">
        <f t="shared" ca="1" si="136"/>
        <v>49</v>
      </c>
      <c r="AJ266" s="177">
        <f t="shared" ca="1" si="137"/>
        <v>49</v>
      </c>
      <c r="AK266" s="12">
        <f t="shared" ca="1" si="138"/>
        <v>-10655.922625641013</v>
      </c>
      <c r="AL266" s="185">
        <f t="shared" ca="1" si="147"/>
        <v>10606.922625641013</v>
      </c>
      <c r="AM266" s="177">
        <f t="shared" ca="1" si="148"/>
        <v>10644.458726362165</v>
      </c>
      <c r="AN266" s="177">
        <f t="shared" ca="1" si="149"/>
        <v>9482.9208579665683</v>
      </c>
      <c r="AO266" s="196">
        <f t="shared" ca="1" si="150"/>
        <v>64</v>
      </c>
      <c r="AP266" s="196">
        <f t="shared" ca="1" si="151"/>
        <v>57</v>
      </c>
      <c r="AQ266" s="177">
        <f t="shared" ca="1" si="152"/>
        <v>0</v>
      </c>
      <c r="AR266" s="177">
        <f t="shared" ca="1" si="153"/>
        <v>37.536100721152252</v>
      </c>
      <c r="AS266" s="189"/>
      <c r="AT266" s="190"/>
      <c r="AU266" s="190"/>
    </row>
    <row r="267" spans="1:47" x14ac:dyDescent="0.6">
      <c r="A267" s="152" t="str">
        <f t="shared" ca="1" si="119"/>
        <v>Oktober 2045</v>
      </c>
      <c r="B267" s="191">
        <v>0</v>
      </c>
      <c r="C267" s="270">
        <f t="shared" ca="1" si="139"/>
        <v>5.4899999999999997E-2</v>
      </c>
      <c r="D267" s="192" t="str">
        <f t="shared" ca="1" si="140"/>
        <v/>
      </c>
      <c r="E267" s="193" t="str">
        <f t="shared" ca="1" si="141"/>
        <v/>
      </c>
      <c r="F267" s="194">
        <f t="shared" ca="1" si="142"/>
        <v>49</v>
      </c>
      <c r="G267" s="14">
        <v>250</v>
      </c>
      <c r="H267" s="157">
        <f t="shared" ca="1" si="143"/>
        <v>63</v>
      </c>
      <c r="I267" s="16">
        <f t="shared" ca="1" si="144"/>
        <v>10569.386524919859</v>
      </c>
      <c r="J267" s="16">
        <f t="shared" ca="1" si="120"/>
        <v>2364.7743454327115</v>
      </c>
      <c r="K267" s="158">
        <f t="shared" ca="1" si="121"/>
        <v>8204.6121794871469</v>
      </c>
      <c r="L267" s="158">
        <f t="shared" ca="1" si="122"/>
        <v>508685.95512820943</v>
      </c>
      <c r="M267" s="15">
        <f t="shared" ca="1" si="123"/>
        <v>-1.8189894035458565E-11</v>
      </c>
      <c r="N267" s="16">
        <f ca="1">IF(Y267=0, 0, ROUND(SUM(Y$17:Y267)-SUM(J$17:J267),0))</f>
        <v>0</v>
      </c>
      <c r="O267" s="16" t="str">
        <f t="shared" ca="1" si="124"/>
        <v/>
      </c>
      <c r="P267" s="16">
        <f t="shared" ca="1" si="125"/>
        <v>4490000</v>
      </c>
      <c r="Q267" s="160">
        <f t="shared" ca="1" si="156"/>
        <v>5000000</v>
      </c>
      <c r="R267" s="160">
        <f t="shared" ca="1" si="156"/>
        <v>0</v>
      </c>
      <c r="S267" s="160">
        <f t="shared" ca="1" si="156"/>
        <v>358488</v>
      </c>
      <c r="T267" s="160">
        <f t="shared" ca="1" si="156"/>
        <v>628000</v>
      </c>
      <c r="U267" s="161" t="str">
        <f t="shared" ca="1" si="126"/>
        <v/>
      </c>
      <c r="V267" s="162">
        <f t="shared" ca="1" si="118"/>
        <v>1.39</v>
      </c>
      <c r="W267" s="195">
        <f t="shared" ca="1" si="145"/>
        <v>63</v>
      </c>
      <c r="X267" s="158">
        <f t="shared" ca="1" si="127"/>
        <v>10569.386524919873</v>
      </c>
      <c r="Y267" s="16">
        <f t="shared" ca="1" si="128"/>
        <v>2364.7743454326933</v>
      </c>
      <c r="Z267" s="164">
        <f t="shared" ca="1" si="129"/>
        <v>508685.95512820536</v>
      </c>
      <c r="AA267" s="272">
        <f t="shared" ca="1" si="146"/>
        <v>0.22</v>
      </c>
      <c r="AB267" s="16">
        <f t="shared" ca="1" si="130"/>
        <v>10087.356168924662</v>
      </c>
      <c r="AC267" s="16">
        <f t="shared" ca="1" si="131"/>
        <v>10087.35616892468</v>
      </c>
      <c r="AD267" s="197"/>
      <c r="AE267" s="274">
        <f t="shared" ca="1" si="132"/>
        <v>1.6821425527395739E-3</v>
      </c>
      <c r="AF267" s="166">
        <f t="shared" ca="1" si="133"/>
        <v>0.65756860587431909</v>
      </c>
      <c r="AG267" s="16">
        <f t="shared" ca="1" si="134"/>
        <v>6633.1287329575025</v>
      </c>
      <c r="AH267" s="16">
        <f t="shared" ca="1" si="135"/>
        <v>6633.1287329575143</v>
      </c>
      <c r="AI267" s="168">
        <f t="shared" ca="1" si="136"/>
        <v>49</v>
      </c>
      <c r="AJ267" s="158">
        <f t="shared" ca="1" si="137"/>
        <v>49</v>
      </c>
      <c r="AK267" s="16">
        <f t="shared" ca="1" si="138"/>
        <v>-10618.386524919859</v>
      </c>
      <c r="AL267" s="168">
        <f t="shared" ca="1" si="147"/>
        <v>10569.386524919859</v>
      </c>
      <c r="AM267" s="158">
        <f t="shared" ca="1" si="148"/>
        <v>10606.922625641013</v>
      </c>
      <c r="AN267" s="158">
        <f t="shared" ca="1" si="149"/>
        <v>9462.3445644733256</v>
      </c>
      <c r="AO267" s="169">
        <f t="shared" ca="1" si="150"/>
        <v>63</v>
      </c>
      <c r="AP267" s="169">
        <f t="shared" ca="1" si="151"/>
        <v>56</v>
      </c>
      <c r="AQ267" s="158">
        <f t="shared" ca="1" si="152"/>
        <v>0</v>
      </c>
      <c r="AR267" s="158">
        <f t="shared" ca="1" si="153"/>
        <v>37.536100721154071</v>
      </c>
      <c r="AS267" s="170"/>
      <c r="AT267" s="159"/>
      <c r="AU267" s="159"/>
    </row>
    <row r="268" spans="1:47" x14ac:dyDescent="0.6">
      <c r="A268" s="171" t="str">
        <f t="shared" ca="1" si="119"/>
        <v>November 2045</v>
      </c>
      <c r="B268" s="191">
        <v>0</v>
      </c>
      <c r="C268" s="269">
        <f t="shared" ca="1" si="139"/>
        <v>5.4899999999999997E-2</v>
      </c>
      <c r="D268" s="173" t="str">
        <f t="shared" ca="1" si="140"/>
        <v/>
      </c>
      <c r="E268" s="174" t="str">
        <f t="shared" ca="1" si="141"/>
        <v/>
      </c>
      <c r="F268" s="175">
        <f t="shared" ca="1" si="142"/>
        <v>49</v>
      </c>
      <c r="G268" s="10">
        <v>251</v>
      </c>
      <c r="H268" s="176">
        <f t="shared" ca="1" si="143"/>
        <v>62</v>
      </c>
      <c r="I268" s="12">
        <f t="shared" ca="1" si="144"/>
        <v>10531.850424198705</v>
      </c>
      <c r="J268" s="12">
        <f t="shared" ca="1" si="120"/>
        <v>2327.2382447115583</v>
      </c>
      <c r="K268" s="177">
        <f t="shared" ca="1" si="121"/>
        <v>8204.6121794871469</v>
      </c>
      <c r="L268" s="177">
        <f t="shared" ca="1" si="122"/>
        <v>500481.3429487223</v>
      </c>
      <c r="M268" s="11">
        <f t="shared" ca="1" si="123"/>
        <v>-1.9099388737231493E-11</v>
      </c>
      <c r="N268" s="12">
        <f ca="1">IF(Y268=0, 0, ROUND(SUM(Y$17:Y268)-SUM(J$17:J268),0))</f>
        <v>0</v>
      </c>
      <c r="O268" s="12" t="str">
        <f t="shared" ca="1" si="124"/>
        <v/>
      </c>
      <c r="P268" s="12" t="str">
        <f t="shared" ca="1" si="125"/>
        <v/>
      </c>
      <c r="Q268" s="178">
        <f t="shared" ca="1" si="156"/>
        <v>5000000</v>
      </c>
      <c r="R268" s="178">
        <f t="shared" ca="1" si="156"/>
        <v>0</v>
      </c>
      <c r="S268" s="178">
        <f t="shared" ca="1" si="156"/>
        <v>358488</v>
      </c>
      <c r="T268" s="178">
        <f t="shared" ca="1" si="156"/>
        <v>628000</v>
      </c>
      <c r="U268" s="179" t="str">
        <f t="shared" ca="1" si="126"/>
        <v/>
      </c>
      <c r="V268" s="180">
        <f t="shared" ca="1" si="118"/>
        <v>1.37</v>
      </c>
      <c r="W268" s="181">
        <f t="shared" ca="1" si="145"/>
        <v>62</v>
      </c>
      <c r="X268" s="177">
        <f t="shared" ca="1" si="127"/>
        <v>10531.850424198719</v>
      </c>
      <c r="Y268" s="12">
        <f t="shared" ca="1" si="128"/>
        <v>2327.2382447115392</v>
      </c>
      <c r="Z268" s="182">
        <f t="shared" ca="1" si="129"/>
        <v>500481.34294871817</v>
      </c>
      <c r="AA268" s="271">
        <f t="shared" ca="1" si="146"/>
        <v>0.22</v>
      </c>
      <c r="AB268" s="12">
        <f t="shared" ca="1" si="130"/>
        <v>10058.078010362162</v>
      </c>
      <c r="AC268" s="12">
        <f t="shared" ca="1" si="131"/>
        <v>10058.07801036218</v>
      </c>
      <c r="AD268" s="199"/>
      <c r="AE268" s="273">
        <f t="shared" ca="1" si="132"/>
        <v>1.6821425527395739E-3</v>
      </c>
      <c r="AF268" s="184">
        <f t="shared" ca="1" si="133"/>
        <v>0.65646248174103228</v>
      </c>
      <c r="AG268" s="12">
        <f t="shared" ca="1" si="134"/>
        <v>6602.7508522272492</v>
      </c>
      <c r="AH268" s="12">
        <f t="shared" ca="1" si="135"/>
        <v>6602.750852227261</v>
      </c>
      <c r="AI268" s="185">
        <f t="shared" ca="1" si="136"/>
        <v>49</v>
      </c>
      <c r="AJ268" s="177">
        <f t="shared" ca="1" si="137"/>
        <v>49</v>
      </c>
      <c r="AK268" s="12">
        <f t="shared" ca="1" si="138"/>
        <v>-10580.850424198705</v>
      </c>
      <c r="AL268" s="185">
        <f t="shared" ca="1" si="147"/>
        <v>10531.850424198705</v>
      </c>
      <c r="AM268" s="177">
        <f t="shared" ca="1" si="148"/>
        <v>10569.386524919859</v>
      </c>
      <c r="AN268" s="177">
        <f t="shared" ca="1" si="149"/>
        <v>9441.7965919886155</v>
      </c>
      <c r="AO268" s="196">
        <f t="shared" ca="1" si="150"/>
        <v>62</v>
      </c>
      <c r="AP268" s="196">
        <f t="shared" ca="1" si="151"/>
        <v>55</v>
      </c>
      <c r="AQ268" s="177">
        <f t="shared" ca="1" si="152"/>
        <v>0</v>
      </c>
      <c r="AR268" s="177">
        <f t="shared" ca="1" si="153"/>
        <v>37.536100721154071</v>
      </c>
      <c r="AS268" s="189"/>
      <c r="AT268" s="190"/>
      <c r="AU268" s="190"/>
    </row>
    <row r="269" spans="1:47" x14ac:dyDescent="0.6">
      <c r="A269" s="152" t="str">
        <f t="shared" ca="1" si="119"/>
        <v>Desember 2045</v>
      </c>
      <c r="B269" s="191">
        <v>0</v>
      </c>
      <c r="C269" s="270">
        <f t="shared" ca="1" si="139"/>
        <v>5.4899999999999997E-2</v>
      </c>
      <c r="D269" s="192" t="str">
        <f t="shared" ca="1" si="140"/>
        <v/>
      </c>
      <c r="E269" s="193" t="str">
        <f t="shared" ca="1" si="141"/>
        <v/>
      </c>
      <c r="F269" s="194">
        <f t="shared" ca="1" si="142"/>
        <v>49</v>
      </c>
      <c r="G269" s="14">
        <v>252</v>
      </c>
      <c r="H269" s="157">
        <f t="shared" ca="1" si="143"/>
        <v>61</v>
      </c>
      <c r="I269" s="16">
        <f t="shared" ca="1" si="144"/>
        <v>10494.314323477551</v>
      </c>
      <c r="J269" s="16">
        <f t="shared" ca="1" si="120"/>
        <v>2289.7021439904042</v>
      </c>
      <c r="K269" s="158">
        <f t="shared" ca="1" si="121"/>
        <v>8204.6121794871469</v>
      </c>
      <c r="L269" s="158">
        <f t="shared" ca="1" si="122"/>
        <v>492276.73076923518</v>
      </c>
      <c r="M269" s="15">
        <f t="shared" ca="1" si="123"/>
        <v>-1.8644641386345029E-11</v>
      </c>
      <c r="N269" s="16">
        <f ca="1">IF(Y269=0, 0, ROUND(SUM(Y$17:Y269)-SUM(J$17:J269),0))</f>
        <v>0</v>
      </c>
      <c r="O269" s="16" t="str">
        <f t="shared" ca="1" si="124"/>
        <v/>
      </c>
      <c r="P269" s="16">
        <f t="shared" ca="1" si="125"/>
        <v>4500000</v>
      </c>
      <c r="Q269" s="160">
        <f t="shared" ca="1" si="156"/>
        <v>5000000</v>
      </c>
      <c r="R269" s="160">
        <f t="shared" ca="1" si="156"/>
        <v>0</v>
      </c>
      <c r="S269" s="160">
        <f t="shared" ca="1" si="156"/>
        <v>358488</v>
      </c>
      <c r="T269" s="160">
        <f t="shared" ca="1" si="156"/>
        <v>628000</v>
      </c>
      <c r="U269" s="161" t="str">
        <f t="shared" ca="1" si="126"/>
        <v/>
      </c>
      <c r="V269" s="162">
        <f t="shared" ca="1" si="118"/>
        <v>1.36</v>
      </c>
      <c r="W269" s="195">
        <f t="shared" ca="1" si="145"/>
        <v>61</v>
      </c>
      <c r="X269" s="158">
        <f t="shared" ca="1" si="127"/>
        <v>10494.314323477565</v>
      </c>
      <c r="Y269" s="16">
        <f t="shared" ca="1" si="128"/>
        <v>2289.7021439903856</v>
      </c>
      <c r="Z269" s="164">
        <f t="shared" ca="1" si="129"/>
        <v>492276.73076923098</v>
      </c>
      <c r="AA269" s="272">
        <f t="shared" ca="1" si="146"/>
        <v>0.22</v>
      </c>
      <c r="AB269" s="16">
        <f t="shared" ca="1" si="130"/>
        <v>10028.799851799662</v>
      </c>
      <c r="AC269" s="16">
        <f t="shared" ca="1" si="131"/>
        <v>10028.79985179968</v>
      </c>
      <c r="AD269" s="197"/>
      <c r="AE269" s="274">
        <f t="shared" ca="1" si="132"/>
        <v>1.6821425527395739E-3</v>
      </c>
      <c r="AF269" s="166">
        <f t="shared" ca="1" si="133"/>
        <v>0.65535821826621865</v>
      </c>
      <c r="AG269" s="16">
        <f t="shared" ca="1" si="134"/>
        <v>6572.4564022239438</v>
      </c>
      <c r="AH269" s="16">
        <f t="shared" ca="1" si="135"/>
        <v>6572.4564022239565</v>
      </c>
      <c r="AI269" s="168">
        <f t="shared" ca="1" si="136"/>
        <v>49</v>
      </c>
      <c r="AJ269" s="158">
        <f t="shared" ca="1" si="137"/>
        <v>49</v>
      </c>
      <c r="AK269" s="16">
        <f t="shared" ca="1" si="138"/>
        <v>-10543.314323477551</v>
      </c>
      <c r="AL269" s="168">
        <f t="shared" ca="1" si="147"/>
        <v>10494.314323477551</v>
      </c>
      <c r="AM269" s="158">
        <f t="shared" ca="1" si="148"/>
        <v>10531.850424198705</v>
      </c>
      <c r="AN269" s="158">
        <f t="shared" ca="1" si="149"/>
        <v>9421.2769478779301</v>
      </c>
      <c r="AO269" s="169">
        <f t="shared" ca="1" si="150"/>
        <v>61</v>
      </c>
      <c r="AP269" s="169">
        <f t="shared" ca="1" si="151"/>
        <v>54</v>
      </c>
      <c r="AQ269" s="158">
        <f t="shared" ca="1" si="152"/>
        <v>0</v>
      </c>
      <c r="AR269" s="158">
        <f t="shared" ca="1" si="153"/>
        <v>37.536100721154071</v>
      </c>
      <c r="AS269" s="170"/>
      <c r="AT269" s="159"/>
      <c r="AU269" s="159"/>
    </row>
    <row r="270" spans="1:47" x14ac:dyDescent="0.6">
      <c r="A270" s="171" t="str">
        <f t="shared" ca="1" si="119"/>
        <v>Januar 2046</v>
      </c>
      <c r="B270" s="191">
        <v>0</v>
      </c>
      <c r="C270" s="269">
        <f t="shared" ca="1" si="139"/>
        <v>5.4899999999999997E-2</v>
      </c>
      <c r="D270" s="173" t="str">
        <f t="shared" ca="1" si="140"/>
        <v/>
      </c>
      <c r="E270" s="174" t="str">
        <f t="shared" ca="1" si="141"/>
        <v/>
      </c>
      <c r="F270" s="175">
        <f t="shared" ca="1" si="142"/>
        <v>49</v>
      </c>
      <c r="G270" s="10">
        <v>253</v>
      </c>
      <c r="H270" s="176">
        <f t="shared" ca="1" si="143"/>
        <v>60</v>
      </c>
      <c r="I270" s="12">
        <f t="shared" ca="1" si="144"/>
        <v>10456.778222756398</v>
      </c>
      <c r="J270" s="12">
        <f t="shared" ca="1" si="120"/>
        <v>2252.1660432692511</v>
      </c>
      <c r="K270" s="177">
        <f t="shared" ca="1" si="121"/>
        <v>8204.6121794871469</v>
      </c>
      <c r="L270" s="177">
        <f t="shared" ca="1" si="122"/>
        <v>484072.11858974805</v>
      </c>
      <c r="M270" s="11">
        <f t="shared" ca="1" si="123"/>
        <v>-1.9554136088117957E-11</v>
      </c>
      <c r="N270" s="12">
        <f ca="1">IF(Y270=0, 0, ROUND(SUM(Y$17:Y270)-SUM(J$17:J270),0))</f>
        <v>0</v>
      </c>
      <c r="O270" s="12" t="str">
        <f t="shared" ca="1" si="124"/>
        <v/>
      </c>
      <c r="P270" s="12">
        <f t="shared" ca="1" si="125"/>
        <v>4510000</v>
      </c>
      <c r="Q270" s="178">
        <f t="shared" ca="1" si="156"/>
        <v>5000000</v>
      </c>
      <c r="R270" s="178">
        <f t="shared" ca="1" si="156"/>
        <v>0</v>
      </c>
      <c r="S270" s="178">
        <f t="shared" ca="1" si="156"/>
        <v>358488</v>
      </c>
      <c r="T270" s="178">
        <f t="shared" ca="1" si="156"/>
        <v>628000</v>
      </c>
      <c r="U270" s="179" t="str">
        <f t="shared" ca="1" si="126"/>
        <v/>
      </c>
      <c r="V270" s="180">
        <f t="shared" ca="1" si="118"/>
        <v>1.35</v>
      </c>
      <c r="W270" s="181">
        <f t="shared" ca="1" si="145"/>
        <v>60</v>
      </c>
      <c r="X270" s="177">
        <f t="shared" ca="1" si="127"/>
        <v>10456.778222756411</v>
      </c>
      <c r="Y270" s="12">
        <f t="shared" ca="1" si="128"/>
        <v>2252.1660432692315</v>
      </c>
      <c r="Z270" s="182">
        <f t="shared" ca="1" si="129"/>
        <v>484072.1185897438</v>
      </c>
      <c r="AA270" s="271">
        <f t="shared" ca="1" si="146"/>
        <v>0.22</v>
      </c>
      <c r="AB270" s="12">
        <f t="shared" ca="1" si="130"/>
        <v>9999.5216932371623</v>
      </c>
      <c r="AC270" s="12">
        <f t="shared" ca="1" si="131"/>
        <v>9999.5216932371804</v>
      </c>
      <c r="AD270" s="199"/>
      <c r="AE270" s="273">
        <f t="shared" ca="1" si="132"/>
        <v>1.6821425527395739E-3</v>
      </c>
      <c r="AF270" s="184">
        <f t="shared" ca="1" si="133"/>
        <v>0.65425581231998542</v>
      </c>
      <c r="AG270" s="12">
        <f t="shared" ca="1" si="134"/>
        <v>6542.2451882201958</v>
      </c>
      <c r="AH270" s="12">
        <f t="shared" ca="1" si="135"/>
        <v>6542.2451882202076</v>
      </c>
      <c r="AI270" s="185">
        <f t="shared" ca="1" si="136"/>
        <v>49</v>
      </c>
      <c r="AJ270" s="177">
        <f t="shared" ca="1" si="137"/>
        <v>49</v>
      </c>
      <c r="AK270" s="12">
        <f t="shared" ca="1" si="138"/>
        <v>-10505.778222756398</v>
      </c>
      <c r="AL270" s="185">
        <f t="shared" ca="1" si="147"/>
        <v>10456.778222756398</v>
      </c>
      <c r="AM270" s="177">
        <f t="shared" ca="1" si="148"/>
        <v>10494.314323477551</v>
      </c>
      <c r="AN270" s="177">
        <f t="shared" ca="1" si="149"/>
        <v>9400.7856393911261</v>
      </c>
      <c r="AO270" s="196">
        <f t="shared" ca="1" si="150"/>
        <v>60</v>
      </c>
      <c r="AP270" s="196">
        <f t="shared" ca="1" si="151"/>
        <v>53</v>
      </c>
      <c r="AQ270" s="177">
        <f t="shared" ca="1" si="152"/>
        <v>0</v>
      </c>
      <c r="AR270" s="177">
        <f t="shared" ca="1" si="153"/>
        <v>37.536100721152252</v>
      </c>
      <c r="AS270" s="189"/>
      <c r="AT270" s="190"/>
      <c r="AU270" s="190"/>
    </row>
    <row r="271" spans="1:47" x14ac:dyDescent="0.6">
      <c r="A271" s="152" t="str">
        <f t="shared" ca="1" si="119"/>
        <v>Februar 2046</v>
      </c>
      <c r="B271" s="191">
        <v>0</v>
      </c>
      <c r="C271" s="270">
        <f t="shared" ca="1" si="139"/>
        <v>5.4899999999999997E-2</v>
      </c>
      <c r="D271" s="192" t="str">
        <f t="shared" ca="1" si="140"/>
        <v/>
      </c>
      <c r="E271" s="193" t="str">
        <f t="shared" ca="1" si="141"/>
        <v/>
      </c>
      <c r="F271" s="194">
        <f t="shared" ca="1" si="142"/>
        <v>49</v>
      </c>
      <c r="G271" s="14">
        <v>254</v>
      </c>
      <c r="H271" s="157">
        <f t="shared" ca="1" si="143"/>
        <v>59</v>
      </c>
      <c r="I271" s="16">
        <f t="shared" ca="1" si="144"/>
        <v>10419.242122035244</v>
      </c>
      <c r="J271" s="16">
        <f t="shared" ca="1" si="120"/>
        <v>2214.629942548097</v>
      </c>
      <c r="K271" s="158">
        <f t="shared" ca="1" si="121"/>
        <v>8204.6121794871469</v>
      </c>
      <c r="L271" s="158">
        <f t="shared" ca="1" si="122"/>
        <v>475867.50641026092</v>
      </c>
      <c r="M271" s="15">
        <f t="shared" ca="1" si="123"/>
        <v>-1.9099388737231493E-11</v>
      </c>
      <c r="N271" s="16">
        <f ca="1">IF(Y271=0, 0, ROUND(SUM(Y$17:Y271)-SUM(J$17:J271),0))</f>
        <v>0</v>
      </c>
      <c r="O271" s="16" t="str">
        <f t="shared" ca="1" si="124"/>
        <v/>
      </c>
      <c r="P271" s="16">
        <f t="shared" ca="1" si="125"/>
        <v>4520000</v>
      </c>
      <c r="Q271" s="160">
        <f t="shared" ca="1" si="156"/>
        <v>5000000</v>
      </c>
      <c r="R271" s="160">
        <f t="shared" ca="1" si="156"/>
        <v>0</v>
      </c>
      <c r="S271" s="160">
        <f t="shared" ca="1" si="156"/>
        <v>358488</v>
      </c>
      <c r="T271" s="160">
        <f t="shared" ca="1" si="156"/>
        <v>628000</v>
      </c>
      <c r="U271" s="161" t="str">
        <f t="shared" ca="1" si="126"/>
        <v/>
      </c>
      <c r="V271" s="162">
        <f t="shared" ca="1" si="118"/>
        <v>1.33</v>
      </c>
      <c r="W271" s="195">
        <f t="shared" ca="1" si="145"/>
        <v>59</v>
      </c>
      <c r="X271" s="158">
        <f t="shared" ca="1" si="127"/>
        <v>10419.242122035257</v>
      </c>
      <c r="Y271" s="16">
        <f t="shared" ca="1" si="128"/>
        <v>2214.6299425480779</v>
      </c>
      <c r="Z271" s="164">
        <f t="shared" ca="1" si="129"/>
        <v>475867.50641025661</v>
      </c>
      <c r="AA271" s="272">
        <f t="shared" ca="1" si="146"/>
        <v>0.22</v>
      </c>
      <c r="AB271" s="16">
        <f t="shared" ca="1" si="130"/>
        <v>9970.2435346746624</v>
      </c>
      <c r="AC271" s="16">
        <f t="shared" ca="1" si="131"/>
        <v>9970.2435346746806</v>
      </c>
      <c r="AD271" s="197"/>
      <c r="AE271" s="274">
        <f t="shared" ca="1" si="132"/>
        <v>1.6821425527395739E-3</v>
      </c>
      <c r="AF271" s="166">
        <f t="shared" ca="1" si="133"/>
        <v>0.6531552607777048</v>
      </c>
      <c r="AG271" s="16">
        <f t="shared" ca="1" si="134"/>
        <v>6512.1170159076546</v>
      </c>
      <c r="AH271" s="16">
        <f t="shared" ca="1" si="135"/>
        <v>6512.1170159076664</v>
      </c>
      <c r="AI271" s="168">
        <f t="shared" ca="1" si="136"/>
        <v>49</v>
      </c>
      <c r="AJ271" s="158">
        <f t="shared" ca="1" si="137"/>
        <v>49</v>
      </c>
      <c r="AK271" s="16">
        <f t="shared" ca="1" si="138"/>
        <v>-10468.242122035244</v>
      </c>
      <c r="AL271" s="168">
        <f t="shared" ca="1" si="147"/>
        <v>10419.242122035244</v>
      </c>
      <c r="AM271" s="158">
        <f t="shared" ca="1" si="148"/>
        <v>10456.778222756398</v>
      </c>
      <c r="AN271" s="158">
        <f t="shared" ca="1" si="149"/>
        <v>9380.3226736623492</v>
      </c>
      <c r="AO271" s="169">
        <f t="shared" ca="1" si="150"/>
        <v>59</v>
      </c>
      <c r="AP271" s="169">
        <f t="shared" ca="1" si="151"/>
        <v>53</v>
      </c>
      <c r="AQ271" s="158">
        <f t="shared" ca="1" si="152"/>
        <v>0</v>
      </c>
      <c r="AR271" s="158">
        <f t="shared" ca="1" si="153"/>
        <v>37.536100721154071</v>
      </c>
      <c r="AS271" s="170"/>
      <c r="AT271" s="159"/>
      <c r="AU271" s="159"/>
    </row>
    <row r="272" spans="1:47" x14ac:dyDescent="0.6">
      <c r="A272" s="171" t="str">
        <f t="shared" ca="1" si="119"/>
        <v>Mars 2046</v>
      </c>
      <c r="B272" s="191">
        <v>0</v>
      </c>
      <c r="C272" s="269">
        <f t="shared" ca="1" si="139"/>
        <v>5.4899999999999997E-2</v>
      </c>
      <c r="D272" s="173" t="str">
        <f t="shared" ca="1" si="140"/>
        <v/>
      </c>
      <c r="E272" s="174" t="str">
        <f t="shared" ca="1" si="141"/>
        <v/>
      </c>
      <c r="F272" s="175">
        <f t="shared" ca="1" si="142"/>
        <v>49</v>
      </c>
      <c r="G272" s="10">
        <v>255</v>
      </c>
      <c r="H272" s="176">
        <f t="shared" ca="1" si="143"/>
        <v>58</v>
      </c>
      <c r="I272" s="12">
        <f t="shared" ca="1" si="144"/>
        <v>10381.70602131409</v>
      </c>
      <c r="J272" s="12">
        <f t="shared" ca="1" si="120"/>
        <v>2177.0938418269438</v>
      </c>
      <c r="K272" s="177">
        <f t="shared" ca="1" si="121"/>
        <v>8204.6121794871469</v>
      </c>
      <c r="L272" s="177">
        <f t="shared" ca="1" si="122"/>
        <v>467662.89423077379</v>
      </c>
      <c r="M272" s="11">
        <f t="shared" ca="1" si="123"/>
        <v>-2.0008883439004421E-11</v>
      </c>
      <c r="N272" s="12">
        <f ca="1">IF(Y272=0, 0, ROUND(SUM(Y$17:Y272)-SUM(J$17:J272),0))</f>
        <v>0</v>
      </c>
      <c r="O272" s="12" t="str">
        <f t="shared" ca="1" si="124"/>
        <v/>
      </c>
      <c r="P272" s="12">
        <f t="shared" ca="1" si="125"/>
        <v>4530000</v>
      </c>
      <c r="Q272" s="178">
        <f t="shared" ca="1" si="156"/>
        <v>5000000</v>
      </c>
      <c r="R272" s="178">
        <f t="shared" ca="1" si="156"/>
        <v>0</v>
      </c>
      <c r="S272" s="178">
        <f t="shared" ca="1" si="156"/>
        <v>358488</v>
      </c>
      <c r="T272" s="178">
        <f t="shared" ca="1" si="156"/>
        <v>628000</v>
      </c>
      <c r="U272" s="179" t="str">
        <f t="shared" ca="1" si="126"/>
        <v/>
      </c>
      <c r="V272" s="180">
        <f t="shared" ca="1" si="118"/>
        <v>1.32</v>
      </c>
      <c r="W272" s="181">
        <f t="shared" ca="1" si="145"/>
        <v>58</v>
      </c>
      <c r="X272" s="177">
        <f t="shared" ca="1" si="127"/>
        <v>10381.706021314103</v>
      </c>
      <c r="Y272" s="12">
        <f t="shared" ca="1" si="128"/>
        <v>2177.0938418269238</v>
      </c>
      <c r="Z272" s="182">
        <f t="shared" ca="1" si="129"/>
        <v>467662.89423076948</v>
      </c>
      <c r="AA272" s="271">
        <f t="shared" ca="1" si="146"/>
        <v>0.22</v>
      </c>
      <c r="AB272" s="12">
        <f t="shared" ca="1" si="130"/>
        <v>9940.9653761121626</v>
      </c>
      <c r="AC272" s="12">
        <f t="shared" ca="1" si="131"/>
        <v>9940.9653761121808</v>
      </c>
      <c r="AD272" s="199"/>
      <c r="AE272" s="273">
        <f t="shared" ca="1" si="132"/>
        <v>1.6821425527395739E-3</v>
      </c>
      <c r="AF272" s="184">
        <f t="shared" ca="1" si="133"/>
        <v>0.65205656052000494</v>
      </c>
      <c r="AG272" s="12">
        <f t="shared" ca="1" si="134"/>
        <v>6482.0716913961542</v>
      </c>
      <c r="AH272" s="12">
        <f t="shared" ca="1" si="135"/>
        <v>6482.071691396166</v>
      </c>
      <c r="AI272" s="185">
        <f t="shared" ca="1" si="136"/>
        <v>49</v>
      </c>
      <c r="AJ272" s="177">
        <f t="shared" ca="1" si="137"/>
        <v>49</v>
      </c>
      <c r="AK272" s="12">
        <f t="shared" ca="1" si="138"/>
        <v>-10430.70602131409</v>
      </c>
      <c r="AL272" s="185">
        <f t="shared" ca="1" si="147"/>
        <v>10381.70602131409</v>
      </c>
      <c r="AM272" s="177">
        <f t="shared" ca="1" si="148"/>
        <v>10419.242122035244</v>
      </c>
      <c r="AN272" s="177">
        <f t="shared" ca="1" si="149"/>
        <v>9359.8880577098898</v>
      </c>
      <c r="AO272" s="196">
        <f t="shared" ca="1" si="150"/>
        <v>58</v>
      </c>
      <c r="AP272" s="196">
        <f t="shared" ca="1" si="151"/>
        <v>52</v>
      </c>
      <c r="AQ272" s="177">
        <f t="shared" ca="1" si="152"/>
        <v>0</v>
      </c>
      <c r="AR272" s="177">
        <f t="shared" ca="1" si="153"/>
        <v>37.536100721154071</v>
      </c>
      <c r="AS272" s="189"/>
      <c r="AT272" s="190"/>
      <c r="AU272" s="190"/>
    </row>
    <row r="273" spans="1:47" x14ac:dyDescent="0.6">
      <c r="A273" s="152" t="str">
        <f t="shared" ca="1" si="119"/>
        <v>April 2046</v>
      </c>
      <c r="B273" s="191">
        <v>0</v>
      </c>
      <c r="C273" s="270">
        <f t="shared" ca="1" si="139"/>
        <v>5.4899999999999997E-2</v>
      </c>
      <c r="D273" s="192" t="str">
        <f t="shared" ca="1" si="140"/>
        <v/>
      </c>
      <c r="E273" s="193" t="str">
        <f t="shared" ca="1" si="141"/>
        <v/>
      </c>
      <c r="F273" s="194">
        <f t="shared" ca="1" si="142"/>
        <v>49</v>
      </c>
      <c r="G273" s="14">
        <v>256</v>
      </c>
      <c r="H273" s="157">
        <f t="shared" ca="1" si="143"/>
        <v>57</v>
      </c>
      <c r="I273" s="16">
        <f t="shared" ca="1" si="144"/>
        <v>10344.169920592936</v>
      </c>
      <c r="J273" s="16">
        <f t="shared" ca="1" si="120"/>
        <v>2139.5577411057898</v>
      </c>
      <c r="K273" s="158">
        <f t="shared" ca="1" si="121"/>
        <v>8204.6121794871469</v>
      </c>
      <c r="L273" s="158">
        <f t="shared" ca="1" si="122"/>
        <v>459458.28205128666</v>
      </c>
      <c r="M273" s="15">
        <f t="shared" ca="1" si="123"/>
        <v>-1.9554136088117957E-11</v>
      </c>
      <c r="N273" s="16">
        <f ca="1">IF(Y273=0, 0, ROUND(SUM(Y$17:Y273)-SUM(J$17:J273),0))</f>
        <v>0</v>
      </c>
      <c r="O273" s="16" t="str">
        <f t="shared" ca="1" si="124"/>
        <v/>
      </c>
      <c r="P273" s="16">
        <f t="shared" ca="1" si="125"/>
        <v>4540000</v>
      </c>
      <c r="Q273" s="160">
        <f t="shared" ca="1" si="156"/>
        <v>5000000</v>
      </c>
      <c r="R273" s="160">
        <f t="shared" ca="1" si="156"/>
        <v>0</v>
      </c>
      <c r="S273" s="160">
        <f t="shared" ca="1" si="156"/>
        <v>358488</v>
      </c>
      <c r="T273" s="160">
        <f t="shared" ca="1" si="156"/>
        <v>628000</v>
      </c>
      <c r="U273" s="161" t="str">
        <f t="shared" ca="1" si="126"/>
        <v/>
      </c>
      <c r="V273" s="162">
        <f t="shared" ref="V273:V336" ca="1" si="157">IF(SUM(INDIRECT(ADDRESS(ROW(), t2kInntekt))) = 0, "Inntekt mangler", ROUNDUP(($L273 + INDIRECT(ADDRESS(ROW(), t2kFGj)) + INDIRECT(ADDRESS(ROW(), t2kAnnenGjeld))) / INDIRECT(ADDRESS(ROW(), t2kInntekt)), 2))</f>
        <v>1.31</v>
      </c>
      <c r="W273" s="195">
        <f t="shared" ca="1" si="145"/>
        <v>57</v>
      </c>
      <c r="X273" s="158">
        <f t="shared" ca="1" si="127"/>
        <v>10344.169920592951</v>
      </c>
      <c r="Y273" s="16">
        <f t="shared" ca="1" si="128"/>
        <v>2139.5577411057702</v>
      </c>
      <c r="Z273" s="164">
        <f t="shared" ca="1" si="129"/>
        <v>459458.28205128229</v>
      </c>
      <c r="AA273" s="272">
        <f t="shared" ca="1" si="146"/>
        <v>0.22</v>
      </c>
      <c r="AB273" s="16">
        <f t="shared" ca="1" si="130"/>
        <v>9911.6872175496628</v>
      </c>
      <c r="AC273" s="16">
        <f t="shared" ca="1" si="131"/>
        <v>9911.687217549681</v>
      </c>
      <c r="AD273" s="197"/>
      <c r="AE273" s="274">
        <f t="shared" ca="1" si="132"/>
        <v>1.6821425527395739E-3</v>
      </c>
      <c r="AF273" s="166">
        <f t="shared" ca="1" si="133"/>
        <v>0.65095970843276119</v>
      </c>
      <c r="AG273" s="16">
        <f t="shared" ca="1" si="134"/>
        <v>6452.1090212128547</v>
      </c>
      <c r="AH273" s="16">
        <f t="shared" ca="1" si="135"/>
        <v>6452.1090212128665</v>
      </c>
      <c r="AI273" s="168">
        <f t="shared" ca="1" si="136"/>
        <v>49</v>
      </c>
      <c r="AJ273" s="158">
        <f t="shared" ca="1" si="137"/>
        <v>49</v>
      </c>
      <c r="AK273" s="16">
        <f t="shared" ca="1" si="138"/>
        <v>-10393.169920592936</v>
      </c>
      <c r="AL273" s="168">
        <f t="shared" ca="1" si="147"/>
        <v>10344.169920592936</v>
      </c>
      <c r="AM273" s="158">
        <f t="shared" ca="1" si="148"/>
        <v>10381.70602131409</v>
      </c>
      <c r="AN273" s="158">
        <f t="shared" ca="1" si="149"/>
        <v>9339.4817984361143</v>
      </c>
      <c r="AO273" s="169">
        <f t="shared" ca="1" si="150"/>
        <v>57</v>
      </c>
      <c r="AP273" s="169">
        <f t="shared" ca="1" si="151"/>
        <v>51</v>
      </c>
      <c r="AQ273" s="158">
        <f t="shared" ca="1" si="152"/>
        <v>0</v>
      </c>
      <c r="AR273" s="158">
        <f t="shared" ca="1" si="153"/>
        <v>37.536100721154071</v>
      </c>
      <c r="AS273" s="170"/>
      <c r="AT273" s="159"/>
      <c r="AU273" s="159"/>
    </row>
    <row r="274" spans="1:47" x14ac:dyDescent="0.6">
      <c r="A274" s="171" t="str">
        <f t="shared" ref="A274:A337" ca="1" si="158">PROPER(CHOOSE((MONTH($E$5)-1+G274)-INT((MONTH($E$5)-2+G274)/12)*12,"Januar","Februar","Mars","April","Mai","Juni","Juli","August","September","Oktober","November","Desember")) &amp; " " &amp; TEXT(YEAR($E$5) + INT((MONTH($E$5)-2+G274)/12),0)</f>
        <v>Mai 2046</v>
      </c>
      <c r="B274" s="191">
        <v>0</v>
      </c>
      <c r="C274" s="269">
        <f t="shared" ca="1" si="139"/>
        <v>5.4899999999999997E-2</v>
      </c>
      <c r="D274" s="173" t="str">
        <f t="shared" ca="1" si="140"/>
        <v/>
      </c>
      <c r="E274" s="174" t="str">
        <f t="shared" ca="1" si="141"/>
        <v/>
      </c>
      <c r="F274" s="175">
        <f t="shared" ca="1" si="142"/>
        <v>49</v>
      </c>
      <c r="G274" s="10">
        <v>257</v>
      </c>
      <c r="H274" s="176">
        <f t="shared" ca="1" si="143"/>
        <v>56</v>
      </c>
      <c r="I274" s="12">
        <f t="shared" ca="1" si="144"/>
        <v>10306.633819871784</v>
      </c>
      <c r="J274" s="12">
        <f t="shared" ref="J274:J337" ca="1" si="159">IF(AND(H274&lt;=0,ROUND(L273,0)&lt;=0),0, L273*INDIRECT(ADDRESS(ROW(),t2kRP))/12)</f>
        <v>2102.0216403846366</v>
      </c>
      <c r="K274" s="177">
        <f t="shared" ref="K274:K337" ca="1" si="160">IF(INDIRECT(ADDRESS(ROW(),t2kUAvd))="x", 0, I274-J274)</f>
        <v>8204.6121794871469</v>
      </c>
      <c r="L274" s="177">
        <f t="shared" ref="L274:L337" ca="1" si="161">IF(ABS(L273-ROUND(INDIRECT(ADDRESS(ROW(),t2kTnb)),0)-K274)&lt;0.5, 0, L273-INDIRECT(ADDRESS(ROW(),t2kTnb))-K274)</f>
        <v>451253.66987179953</v>
      </c>
      <c r="M274" s="11">
        <f t="shared" ref="M274:M337" ca="1" si="162">Y274-J274</f>
        <v>-2.0008883439004421E-11</v>
      </c>
      <c r="N274" s="12">
        <f ca="1">IF(Y274=0, 0, ROUND(SUM(Y$17:Y274)-SUM(J$17:J274),0))</f>
        <v>0</v>
      </c>
      <c r="O274" s="12" t="str">
        <f t="shared" ref="O274:O337" ca="1" si="163">IF(OR(ROUND(Z274,0)&lt;=0, AND(ROUND(H274,0)&lt;=0,ROUND(L273,0)&lt;=0)), "",IF(ROUNDDOWN(Z273-L273,-(LEN(TEXT(INT(ABS(Z273-L273)),0))-2))=ROUNDDOWN(Z274-L274,-(LEN(TEXT(INT(ABS(Z274-L274)),0))-2)),"", ROUNDDOWN(Z274-L274,-(LEN(TEXT(INT(ABS(Z274-L274)),0))-2))))</f>
        <v/>
      </c>
      <c r="P274" s="12" t="str">
        <f t="shared" ref="P274:P337" ca="1" si="164">IF(INDIRECT(ADDRESS(ROW(),t2kTakst))&lt;=L274, "",IF(ROUNDDOWN(INDIRECT(ADDRESS(ROW()-1,t2kTakst))-L273,-4)=ROUNDDOWN(INDIRECT(ADDRESS(ROW(),t2kTakst))-L274,-4),"", ROUNDDOWN(INDIRECT(ADDRESS(ROW(),t2kTakst))-L274,-4)))</f>
        <v/>
      </c>
      <c r="Q274" s="178">
        <f t="shared" ca="1" si="156"/>
        <v>5000000</v>
      </c>
      <c r="R274" s="178">
        <f t="shared" ca="1" si="156"/>
        <v>0</v>
      </c>
      <c r="S274" s="178">
        <f t="shared" ca="1" si="156"/>
        <v>358488</v>
      </c>
      <c r="T274" s="178">
        <f t="shared" ca="1" si="156"/>
        <v>628000</v>
      </c>
      <c r="U274" s="179" t="str">
        <f t="shared" ref="U274:U337" ca="1" si="165">IF(AND(OR(AND(ISNUMBER(INDIRECT(ADDRESS(ROW()-1, t2kGjeldsgrad))), SUM(INDIRECT(ADDRESS(ROW()-1, t2kGjeldsgrad))) &gt; $P$10), NOT(ISNUMBER(INDIRECT(ADDRESS(ROW()-1, t2kGjeldsgrad))))), ISNUMBER($V274), ISNUMBER($P$10), SUM($V274) &lt;= SUM($P$10)), ROW(), "")</f>
        <v/>
      </c>
      <c r="V274" s="180">
        <f t="shared" ca="1" si="157"/>
        <v>1.29</v>
      </c>
      <c r="W274" s="181">
        <f t="shared" ca="1" si="145"/>
        <v>56</v>
      </c>
      <c r="X274" s="177">
        <f t="shared" ref="X274:X337" ca="1" si="166">IF(AND(W274&lt;=0,ROUND(Z273,0)&lt;=0),0,IF(LOWER(LEFT($E$2,1))="s", IF($E$3/ROUND($E$4*12,0)+Y274&gt;Z273+Y274, Z273+Y274, $E$3/ROUND($E$4*12,0)+Y274),IF(ABS(PMT(INDIRECT(ADDRESS(ROW(),t2kRP))/12,W274,Z273)) &gt;Z273+Y274, Z273+Y274, ABS(PMT(INDIRECT(ADDRESS(ROW(),t2kRP))/12,W274,Z273)))))</f>
        <v>10306.633819871797</v>
      </c>
      <c r="Y274" s="12">
        <f t="shared" ref="Y274:Y337" ca="1" si="167">IF(AND(W274&lt;=0,ROUND(Z273,0)&lt;=0),0, Z273*INDIRECT(ADDRESS(ROW(),t2kRP))/12)</f>
        <v>2102.0216403846166</v>
      </c>
      <c r="Z274" s="182">
        <f t="shared" ref="Z274:Z337" ca="1" si="168">IF(ABS(Z273+Y274-X274)&lt;0.5,0,Z273+Y274-X274)</f>
        <v>451253.66987179511</v>
      </c>
      <c r="AA274" s="271">
        <f t="shared" ca="1" si="146"/>
        <v>0.22</v>
      </c>
      <c r="AB274" s="12">
        <f t="shared" ref="AB274:AB337" ca="1" si="169">INDIRECT(ADDRESS(ROW(),t2kTnb))+($AI274+$J274)*(1-IF(LOWER(LEFT($P$3,1))="j", INDIRECT(ADDRESS(ROW(), t2kFradragPst)), 0))+$K274</f>
        <v>9882.409058987163</v>
      </c>
      <c r="AC274" s="12">
        <f t="shared" ref="AC274:AC337" ca="1" si="170">($AJ274+$Y274)*(1-IF(LOWER(LEFT($P$3,1))="j", INDIRECT(ADDRESS(ROW(), t2kFradragPst)), 0))+($X274-$Y274)</f>
        <v>9882.4090589871812</v>
      </c>
      <c r="AD274" s="199"/>
      <c r="AE274" s="273">
        <f t="shared" ref="AE274:AE337" ca="1" si="171">IF(OR(SUM(INDIRECT(ADDRESS(ROW()-1,t2kKPI)))=0,SUM(INDIRECT(ADDRESS(ROW(),t2kKPI)))=0), -((-$R$4+1)^(1/12)-1), (INDIRECT(ADDRESS(ROW(),t2kKPI))-INDIRECT(ADDRESS(ROW()-1,t2kKPI)))/INDIRECT(ADDRESS(ROW()-1,t2kKPI)))</f>
        <v>1.6821425527395739E-3</v>
      </c>
      <c r="AF274" s="184">
        <f t="shared" ref="AF274:AF337" ca="1" si="172">IF(G274-$P$4=0,1,IF(G274-$P$4&lt;0,AF275/(1-AE275),AF273*(1-AE274)))</f>
        <v>0.64986470140708752</v>
      </c>
      <c r="AG274" s="12">
        <f t="shared" ref="AG274:AG337" ca="1" si="173">$AF274*$AB274</f>
        <v>6422.2288123013896</v>
      </c>
      <c r="AH274" s="12">
        <f t="shared" ref="AH274:AH337" ca="1" si="174">$AF274*$AC274</f>
        <v>6422.2288123014014</v>
      </c>
      <c r="AI274" s="185">
        <f t="shared" ref="AI274:AI337" ca="1" si="175">IF(AND(H274&lt;=0,ROUND(L273,0)&lt;=0), 0, INDIRECT(ADDRESS(ROW(),t2kTG)))</f>
        <v>49</v>
      </c>
      <c r="AJ274" s="177">
        <f t="shared" ref="AJ274:AJ337" ca="1" si="176">IF(AND(W274&lt;=0,ROUND(Z273,0)&lt;=0), 0, INDIRECT(ADDRESS(ROW(),t2kTG)))</f>
        <v>49</v>
      </c>
      <c r="AK274" s="12">
        <f t="shared" ref="AK274:AK337" ca="1" si="177">-(INDIRECT(ADDRESS(ROW(),t2kTnb))+AI274+J274+K274)</f>
        <v>-10355.633819871784</v>
      </c>
      <c r="AL274" s="185">
        <f t="shared" ca="1" si="147"/>
        <v>10306.633819871784</v>
      </c>
      <c r="AM274" s="177">
        <f t="shared" ca="1" si="148"/>
        <v>10344.169920592936</v>
      </c>
      <c r="AN274" s="177">
        <f t="shared" ca="1" si="149"/>
        <v>9319.103902627352</v>
      </c>
      <c r="AO274" s="196">
        <f t="shared" ca="1" si="150"/>
        <v>56</v>
      </c>
      <c r="AP274" s="196">
        <f t="shared" ca="1" si="151"/>
        <v>50</v>
      </c>
      <c r="AQ274" s="177">
        <f t="shared" ca="1" si="152"/>
        <v>0</v>
      </c>
      <c r="AR274" s="177">
        <f t="shared" ca="1" si="153"/>
        <v>37.536100721152252</v>
      </c>
      <c r="AS274" s="189"/>
      <c r="AT274" s="190"/>
      <c r="AU274" s="190"/>
    </row>
    <row r="275" spans="1:47" x14ac:dyDescent="0.6">
      <c r="A275" s="152" t="str">
        <f t="shared" ca="1" si="158"/>
        <v>Juni 2046</v>
      </c>
      <c r="B275" s="191">
        <v>0</v>
      </c>
      <c r="C275" s="270">
        <f t="shared" ref="C275:C338" ca="1" si="178">IF(AND(LOWER(LEFT($E$10,1))="j", INDIRECT(ADDRESS(ROW(),t2kTNr))=t2vStdRTNr), t2xStdRPst, OFFSET(C275,-1,0,1,1))</f>
        <v>5.4899999999999997E-2</v>
      </c>
      <c r="D275" s="192" t="str">
        <f t="shared" ref="D275:D338" ca="1" si="179">IF(AND(LOWER(LEFT($E$8, 1))&lt;&gt;"n", INDIRECT(ADDRESS(ROW()-1,t2kUAvd))="x"),-1/12,"")</f>
        <v/>
      </c>
      <c r="E275" s="193" t="str">
        <f t="shared" ref="E275:E338" ca="1" si="180">IF(AND(LOWER(OFFSET(E275,-1,0,1,1))="x", INDIRECT(ADDRESS(ROW(),t2kTI1))&gt;1),OFFSET(E275,-1,0,1,1),"")</f>
        <v/>
      </c>
      <c r="F275" s="194">
        <f t="shared" ref="F275:F338" ca="1" si="181">OFFSET(F275,-1,0,1,1)</f>
        <v>49</v>
      </c>
      <c r="G275" s="14">
        <v>258</v>
      </c>
      <c r="H275" s="157">
        <f t="shared" ref="H275:H338" ca="1" si="182">IF(OR(ROUND(H274,0) + ROUND(SUM(INDIRECT(ADDRESS(ROW(),t2kNTid)))*12,0) &lt;= 0,ROUND(L274,0)&lt;=0),0, IF(LOWER(LEFT($E$2,1))="s", AO275, AP275))</f>
        <v>55</v>
      </c>
      <c r="I275" s="16">
        <f t="shared" ref="I275:I338" ca="1" si="183">IF(AND(H275&lt;=0,ROUND(L274,0)&lt;=0),0,IF(I274&gt;=L274+J275,L274+J275,IF(LOWER(LEFT($E$2,1))="s", AL275, AM275)))</f>
        <v>10269.09771915063</v>
      </c>
      <c r="J275" s="16">
        <f t="shared" ca="1" si="159"/>
        <v>2064.4855396634825</v>
      </c>
      <c r="K275" s="158">
        <f t="shared" ca="1" si="160"/>
        <v>8204.6121794871469</v>
      </c>
      <c r="L275" s="158">
        <f t="shared" ca="1" si="161"/>
        <v>443049.0576923124</v>
      </c>
      <c r="M275" s="15">
        <f t="shared" ca="1" si="162"/>
        <v>-2.0008883439004421E-11</v>
      </c>
      <c r="N275" s="16">
        <f ca="1">IF(Y275=0, 0, ROUND(SUM(Y$17:Y275)-SUM(J$17:J275),0))</f>
        <v>0</v>
      </c>
      <c r="O275" s="16" t="str">
        <f t="shared" ca="1" si="163"/>
        <v/>
      </c>
      <c r="P275" s="16">
        <f t="shared" ca="1" si="164"/>
        <v>4550000</v>
      </c>
      <c r="Q275" s="160">
        <f t="shared" ca="1" si="156"/>
        <v>5000000</v>
      </c>
      <c r="R275" s="160">
        <f t="shared" ca="1" si="156"/>
        <v>0</v>
      </c>
      <c r="S275" s="160">
        <f t="shared" ca="1" si="156"/>
        <v>358488</v>
      </c>
      <c r="T275" s="160">
        <f t="shared" ca="1" si="156"/>
        <v>628000</v>
      </c>
      <c r="U275" s="161" t="str">
        <f t="shared" ca="1" si="165"/>
        <v/>
      </c>
      <c r="V275" s="162">
        <f t="shared" ca="1" si="157"/>
        <v>1.28</v>
      </c>
      <c r="W275" s="195">
        <f t="shared" ref="W275:W338" ca="1" si="184">IF(OR(ROUNDUP(W274,0) &lt;= 0, ROUND(Z274,0) &lt;= 0),0,ROUNDUP(W274,0)-1)</f>
        <v>55</v>
      </c>
      <c r="X275" s="158">
        <f t="shared" ca="1" si="166"/>
        <v>10269.097719150643</v>
      </c>
      <c r="Y275" s="16">
        <f t="shared" ca="1" si="167"/>
        <v>2064.4855396634625</v>
      </c>
      <c r="Z275" s="164">
        <f t="shared" ca="1" si="168"/>
        <v>443049.05769230792</v>
      </c>
      <c r="AA275" s="272">
        <f t="shared" ref="AA275:AA338" ca="1" si="185">OFFSET(AA275,-1,0,1,1)</f>
        <v>0.22</v>
      </c>
      <c r="AB275" s="16">
        <f t="shared" ca="1" si="169"/>
        <v>9853.1309004246632</v>
      </c>
      <c r="AC275" s="16">
        <f t="shared" ca="1" si="170"/>
        <v>9853.1309004246796</v>
      </c>
      <c r="AD275" s="197"/>
      <c r="AE275" s="274">
        <f t="shared" ca="1" si="171"/>
        <v>1.6821425527395739E-3</v>
      </c>
      <c r="AF275" s="166">
        <f t="shared" ca="1" si="172"/>
        <v>0.64877153633932727</v>
      </c>
      <c r="AG275" s="16">
        <f t="shared" ca="1" si="173"/>
        <v>6392.4308720210074</v>
      </c>
      <c r="AH275" s="16">
        <f t="shared" ca="1" si="174"/>
        <v>6392.4308720210183</v>
      </c>
      <c r="AI275" s="168">
        <f t="shared" ca="1" si="175"/>
        <v>49</v>
      </c>
      <c r="AJ275" s="158">
        <f t="shared" ca="1" si="176"/>
        <v>49</v>
      </c>
      <c r="AK275" s="16">
        <f t="shared" ca="1" si="177"/>
        <v>-10318.09771915063</v>
      </c>
      <c r="AL275" s="168">
        <f t="shared" ref="AL275:AL338" ca="1" si="186">IF(OR(SUM(INDIRECT(ADDRESS(ROW(), t2kNTid))) &lt;&gt; 0, AND(LOWER(LEFT($E$6, 1)) &lt;&gt; "j", INDIRECT(ADDRESS(ROW()-1, t2kTnb)) &lt;&gt; 0)), L274 / H275 + J275, (I274 - J274) + J275)</f>
        <v>10269.09771915063</v>
      </c>
      <c r="AM275" s="158">
        <f t="shared" ref="AM275:AM338" ca="1" si="187">IF(AND(INDIRECT(ADDRESS(ROW(), t2kRP)) = INDIRECT(ADDRESS(ROW()-1, t2kRP)), SUM(INDIRECT(ADDRESS(ROW(), t2kNTid))) = 0, OR(LOWER(LEFT($E$6, 1)) = "j", INDIRECT(ADDRESS(ROW()-1, t2kTnb)) = 0)), I274, ABS(AN275))</f>
        <v>10306.633819871784</v>
      </c>
      <c r="AN275" s="158">
        <f t="shared" ref="AN275:AN338" ca="1" si="188">-PMT(INDIRECT(ADDRESS(ROW(), t2kRP)) / 12, IF(SUM(INDIRECT(ADDRESS(ROW(), t2kNTid))) &lt;&gt; 0, H275, H274 - 1), IF(OR(SUM(INDIRECT(ADDRESS(ROW(), t2kNTid))) &lt;&gt; 0, AND(LOWER(LEFT($E$6, 1)) &lt;&gt; "j", INDIRECT(ADDRESS(ROW()-1, t2kTnb)) &lt;&gt; 0)), L274, L274 + INDIRECT(ADDRESS(ROW()-1, t2kTnb))))</f>
        <v>9298.7543769537806</v>
      </c>
      <c r="AO275" s="169">
        <f t="shared" ref="AO275:AO338" ca="1" si="189">IF(LOWER(LEFT($E$6, 1)) = "j", ROUNDUP(ROUND(L274 / (I274 - J274), 6),0), IF(LOWER(LEFT(INDIRECT(ADDRESS(ROW()-1, t2kUAvd)), 1)) = "x", H274, H274 - 1)) + ROUND(SUM(INDIRECT(ADDRESS(ROW(), t2kNTid))) * 12, 0)</f>
        <v>55</v>
      </c>
      <c r="AP275" s="169">
        <f t="shared" ref="AP275:AP338" ca="1" si="190">IF(LOWER(LEFT($E$6, 1)) = "j", ROUNDUP(ROUND(NPER(INDIRECT(ADDRESS(ROW()-1, t2kRP)) / 12, -ABS(I274), L274), 6),0), IF(LOWER(LEFT(INDIRECT(ADDRESS(ROW()-1, t2kUAvd)), 1)) = "x", H274, H274 - 1)) + ROUND(SUM(INDIRECT(ADDRESS(ROW(), t2kNTid))) * 12, 0)</f>
        <v>49</v>
      </c>
      <c r="AQ275" s="158">
        <f t="shared" ref="AQ275:AQ338" ca="1" si="191">IF(ROUND(INDIRECT(ADDRESS(ROW()-1,t2kS1)),0) &lt;= 0,0,IF(INDIRECT(ADDRESS(ROW()-1,t2kS1)) &lt;= INDIRECT(ADDRESS(ROW()-1,t2kTnb)) + INDIRECT(ADDRESS(ROW(),t2kAvd1)),INDIRECT(ADDRESS(ROW()-1,t2kS1)) - INDIRECT(ADDRESS(ROW(),t2kAvd1)),INDIRECT(ADDRESS(ROW()-1,t2kTnb))))</f>
        <v>0</v>
      </c>
      <c r="AR275" s="158">
        <f t="shared" ref="AR275:AR338" ca="1" si="192">IF(OR((INDIRECT(ADDRESS(ROW()-1,t2kTnb))+INDIRECT(ADDRESS(ROW()-1,t2kTG))+INDIRECT(ADDRESS(ROW()-1,t2kR1))+INDIRECT(ADDRESS(ROW()-1,t2kAvd1))) &lt;= (INDIRECT(ADDRESS(ROW(),t2kTG))+INDIRECT(ADDRESS(ROW(),t2kR1))+INDIRECT(ADDRESS(ROW(),t2kAvd1))),ROUND(INDIRECT(ADDRESS(ROW()-1,t2kS1)),0) &lt;= 0),0,IF(AND(INDIRECT(ADDRESS(ROW()-1,t2kS1)) - INDIRECT(ADDRESS(ROW(),t2kAvd1)) &gt; -0.5,(INDIRECT(ADDRESS(ROW()-1,t2kTnb))+INDIRECT(ADDRESS(ROW()-1,t2kTG))+INDIRECT(ADDRESS(ROW()-1,t2kR1))+INDIRECT(ADDRESS(ROW()-1,t2kAvd1))) &gt;= (INDIRECT(ADDRESS(ROW()-1,t2kS1))+INDIRECT(ADDRESS(ROW(),t2kR1))+INDIRECT(ADDRESS(ROW(),t2kTG)))),INDIRECT(ADDRESS(ROW()-1,t2kS1)) - INDIRECT(ADDRESS(ROW(),t2kAvd1)),(INDIRECT(ADDRESS(ROW()-1,t2kTnb))+INDIRECT(ADDRESS(ROW()-1,t2kTG))+INDIRECT(ADDRESS(ROW()-1,t2kR1))+INDIRECT(ADDRESS(ROW()-1,t2kAvd1))) - (INDIRECT(ADDRESS(ROW(),t2kTG))+INDIRECT(ADDRESS(ROW(),t2kR1))+INDIRECT(ADDRESS(ROW(),t2kAvd1)))))</f>
        <v>37.536100721154071</v>
      </c>
      <c r="AS275" s="170"/>
      <c r="AT275" s="159"/>
      <c r="AU275" s="159"/>
    </row>
    <row r="276" spans="1:47" x14ac:dyDescent="0.6">
      <c r="A276" s="171" t="str">
        <f t="shared" ca="1" si="158"/>
        <v>Juli 2046</v>
      </c>
      <c r="B276" s="191">
        <v>0</v>
      </c>
      <c r="C276" s="269">
        <f t="shared" ca="1" si="178"/>
        <v>5.4899999999999997E-2</v>
      </c>
      <c r="D276" s="173" t="str">
        <f t="shared" ca="1" si="179"/>
        <v/>
      </c>
      <c r="E276" s="174" t="str">
        <f t="shared" ca="1" si="180"/>
        <v/>
      </c>
      <c r="F276" s="175">
        <f t="shared" ca="1" si="181"/>
        <v>49</v>
      </c>
      <c r="G276" s="10">
        <v>259</v>
      </c>
      <c r="H276" s="176">
        <f t="shared" ca="1" si="182"/>
        <v>54</v>
      </c>
      <c r="I276" s="12">
        <f t="shared" ca="1" si="183"/>
        <v>10231.561618429476</v>
      </c>
      <c r="J276" s="12">
        <f t="shared" ca="1" si="159"/>
        <v>2026.9494389423292</v>
      </c>
      <c r="K276" s="177">
        <f t="shared" ca="1" si="160"/>
        <v>8204.6121794871469</v>
      </c>
      <c r="L276" s="177">
        <f t="shared" ca="1" si="161"/>
        <v>434844.44551282527</v>
      </c>
      <c r="M276" s="11">
        <f t="shared" ca="1" si="162"/>
        <v>-2.0463630789890885E-11</v>
      </c>
      <c r="N276" s="12">
        <f ca="1">IF(Y276=0, 0, ROUND(SUM(Y$17:Y276)-SUM(J$17:J276),0))</f>
        <v>0</v>
      </c>
      <c r="O276" s="12" t="str">
        <f t="shared" ca="1" si="163"/>
        <v/>
      </c>
      <c r="P276" s="12">
        <f t="shared" ca="1" si="164"/>
        <v>4560000</v>
      </c>
      <c r="Q276" s="178">
        <f t="shared" ca="1" si="156"/>
        <v>5000000</v>
      </c>
      <c r="R276" s="178">
        <f t="shared" ca="1" si="156"/>
        <v>0</v>
      </c>
      <c r="S276" s="178">
        <f t="shared" ca="1" si="156"/>
        <v>358488</v>
      </c>
      <c r="T276" s="178">
        <f t="shared" ca="1" si="156"/>
        <v>628000</v>
      </c>
      <c r="U276" s="179" t="str">
        <f t="shared" ca="1" si="165"/>
        <v/>
      </c>
      <c r="V276" s="180">
        <f t="shared" ca="1" si="157"/>
        <v>1.27</v>
      </c>
      <c r="W276" s="181">
        <f t="shared" ca="1" si="184"/>
        <v>54</v>
      </c>
      <c r="X276" s="177">
        <f t="shared" ca="1" si="166"/>
        <v>10231.561618429489</v>
      </c>
      <c r="Y276" s="12">
        <f t="shared" ca="1" si="167"/>
        <v>2026.9494389423087</v>
      </c>
      <c r="Z276" s="182">
        <f t="shared" ca="1" si="168"/>
        <v>434844.44551282073</v>
      </c>
      <c r="AA276" s="271">
        <f t="shared" ca="1" si="185"/>
        <v>0.22</v>
      </c>
      <c r="AB276" s="12">
        <f t="shared" ca="1" si="169"/>
        <v>9823.8527418621634</v>
      </c>
      <c r="AC276" s="12">
        <f t="shared" ca="1" si="170"/>
        <v>9823.8527418621816</v>
      </c>
      <c r="AD276" s="199"/>
      <c r="AE276" s="273">
        <f t="shared" ca="1" si="171"/>
        <v>1.6821425527395739E-3</v>
      </c>
      <c r="AF276" s="184">
        <f t="shared" ca="1" si="172"/>
        <v>0.64768021013104471</v>
      </c>
      <c r="AG276" s="12">
        <f t="shared" ca="1" si="173"/>
        <v>6362.7150081457257</v>
      </c>
      <c r="AH276" s="12">
        <f t="shared" ca="1" si="174"/>
        <v>6362.7150081457376</v>
      </c>
      <c r="AI276" s="185">
        <f t="shared" ca="1" si="175"/>
        <v>49</v>
      </c>
      <c r="AJ276" s="177">
        <f t="shared" ca="1" si="176"/>
        <v>49</v>
      </c>
      <c r="AK276" s="12">
        <f t="shared" ca="1" si="177"/>
        <v>-10280.561618429476</v>
      </c>
      <c r="AL276" s="185">
        <f t="shared" ca="1" si="186"/>
        <v>10231.561618429476</v>
      </c>
      <c r="AM276" s="177">
        <f t="shared" ca="1" si="187"/>
        <v>10269.09771915063</v>
      </c>
      <c r="AN276" s="177">
        <f t="shared" ca="1" si="188"/>
        <v>9278.4332279693481</v>
      </c>
      <c r="AO276" s="196">
        <f t="shared" ca="1" si="189"/>
        <v>54</v>
      </c>
      <c r="AP276" s="196">
        <f t="shared" ca="1" si="190"/>
        <v>49</v>
      </c>
      <c r="AQ276" s="177">
        <f t="shared" ca="1" si="191"/>
        <v>0</v>
      </c>
      <c r="AR276" s="177">
        <f t="shared" ca="1" si="192"/>
        <v>37.536100721154071</v>
      </c>
      <c r="AS276" s="189"/>
      <c r="AT276" s="190"/>
      <c r="AU276" s="190"/>
    </row>
    <row r="277" spans="1:47" x14ac:dyDescent="0.6">
      <c r="A277" s="152" t="str">
        <f t="shared" ca="1" si="158"/>
        <v>August 2046</v>
      </c>
      <c r="B277" s="191">
        <v>0</v>
      </c>
      <c r="C277" s="270">
        <f t="shared" ca="1" si="178"/>
        <v>5.4899999999999997E-2</v>
      </c>
      <c r="D277" s="192" t="str">
        <f t="shared" ca="1" si="179"/>
        <v/>
      </c>
      <c r="E277" s="193" t="str">
        <f t="shared" ca="1" si="180"/>
        <v/>
      </c>
      <c r="F277" s="194">
        <f t="shared" ca="1" si="181"/>
        <v>49</v>
      </c>
      <c r="G277" s="14">
        <v>260</v>
      </c>
      <c r="H277" s="157">
        <f t="shared" ca="1" si="182"/>
        <v>53</v>
      </c>
      <c r="I277" s="16">
        <f t="shared" ca="1" si="183"/>
        <v>10194.025517708322</v>
      </c>
      <c r="J277" s="16">
        <f t="shared" ca="1" si="159"/>
        <v>1989.4133382211755</v>
      </c>
      <c r="K277" s="158">
        <f t="shared" ca="1" si="160"/>
        <v>8204.6121794871469</v>
      </c>
      <c r="L277" s="158">
        <f t="shared" ca="1" si="161"/>
        <v>426639.83333333815</v>
      </c>
      <c r="M277" s="15">
        <f t="shared" ca="1" si="162"/>
        <v>-2.0691004465334117E-11</v>
      </c>
      <c r="N277" s="16">
        <f ca="1">IF(Y277=0, 0, ROUND(SUM(Y$17:Y277)-SUM(J$17:J277),0))</f>
        <v>0</v>
      </c>
      <c r="O277" s="16" t="str">
        <f t="shared" ca="1" si="163"/>
        <v/>
      </c>
      <c r="P277" s="16">
        <f t="shared" ca="1" si="164"/>
        <v>4570000</v>
      </c>
      <c r="Q277" s="160">
        <f t="shared" ca="1" si="156"/>
        <v>5000000</v>
      </c>
      <c r="R277" s="160">
        <f t="shared" ca="1" si="156"/>
        <v>0</v>
      </c>
      <c r="S277" s="160">
        <f t="shared" ca="1" si="156"/>
        <v>358488</v>
      </c>
      <c r="T277" s="160">
        <f t="shared" ca="1" si="156"/>
        <v>628000</v>
      </c>
      <c r="U277" s="161" t="str">
        <f t="shared" ca="1" si="165"/>
        <v/>
      </c>
      <c r="V277" s="162">
        <f t="shared" ca="1" si="157"/>
        <v>1.26</v>
      </c>
      <c r="W277" s="195">
        <f t="shared" ca="1" si="184"/>
        <v>53</v>
      </c>
      <c r="X277" s="158">
        <f t="shared" ca="1" si="166"/>
        <v>10194.025517708335</v>
      </c>
      <c r="Y277" s="16">
        <f t="shared" ca="1" si="167"/>
        <v>1989.4133382211548</v>
      </c>
      <c r="Z277" s="164">
        <f t="shared" ca="1" si="168"/>
        <v>426639.83333333355</v>
      </c>
      <c r="AA277" s="272">
        <f t="shared" ca="1" si="185"/>
        <v>0.22</v>
      </c>
      <c r="AB277" s="16">
        <f t="shared" ca="1" si="169"/>
        <v>9794.5745832996636</v>
      </c>
      <c r="AC277" s="16">
        <f t="shared" ca="1" si="170"/>
        <v>9794.5745832996799</v>
      </c>
      <c r="AD277" s="197"/>
      <c r="AE277" s="274">
        <f t="shared" ca="1" si="171"/>
        <v>1.6821425527395739E-3</v>
      </c>
      <c r="AF277" s="166">
        <f t="shared" ca="1" si="172"/>
        <v>0.64659071968901594</v>
      </c>
      <c r="AG277" s="16">
        <f t="shared" ca="1" si="173"/>
        <v>6333.081028863473</v>
      </c>
      <c r="AH277" s="16">
        <f t="shared" ca="1" si="174"/>
        <v>6333.081028863483</v>
      </c>
      <c r="AI277" s="168">
        <f t="shared" ca="1" si="175"/>
        <v>49</v>
      </c>
      <c r="AJ277" s="158">
        <f t="shared" ca="1" si="176"/>
        <v>49</v>
      </c>
      <c r="AK277" s="16">
        <f t="shared" ca="1" si="177"/>
        <v>-10243.025517708322</v>
      </c>
      <c r="AL277" s="168">
        <f t="shared" ca="1" si="186"/>
        <v>10194.025517708322</v>
      </c>
      <c r="AM277" s="158">
        <f t="shared" ca="1" si="187"/>
        <v>10231.561618429476</v>
      </c>
      <c r="AN277" s="158">
        <f t="shared" ca="1" si="188"/>
        <v>9258.1404621116635</v>
      </c>
      <c r="AO277" s="169">
        <f t="shared" ca="1" si="189"/>
        <v>53</v>
      </c>
      <c r="AP277" s="169">
        <f t="shared" ca="1" si="190"/>
        <v>48</v>
      </c>
      <c r="AQ277" s="158">
        <f t="shared" ca="1" si="191"/>
        <v>0</v>
      </c>
      <c r="AR277" s="158">
        <f t="shared" ca="1" si="192"/>
        <v>37.536100721154071</v>
      </c>
      <c r="AS277" s="170"/>
      <c r="AT277" s="159"/>
      <c r="AU277" s="159"/>
    </row>
    <row r="278" spans="1:47" x14ac:dyDescent="0.6">
      <c r="A278" s="171" t="str">
        <f t="shared" ca="1" si="158"/>
        <v>September 2046</v>
      </c>
      <c r="B278" s="191">
        <v>0</v>
      </c>
      <c r="C278" s="269">
        <f t="shared" ca="1" si="178"/>
        <v>5.4899999999999997E-2</v>
      </c>
      <c r="D278" s="173" t="str">
        <f t="shared" ca="1" si="179"/>
        <v/>
      </c>
      <c r="E278" s="174" t="str">
        <f t="shared" ca="1" si="180"/>
        <v/>
      </c>
      <c r="F278" s="175">
        <f t="shared" ca="1" si="181"/>
        <v>49</v>
      </c>
      <c r="G278" s="10">
        <v>261</v>
      </c>
      <c r="H278" s="176">
        <f t="shared" ca="1" si="182"/>
        <v>52</v>
      </c>
      <c r="I278" s="12">
        <f t="shared" ca="1" si="183"/>
        <v>10156.48941698717</v>
      </c>
      <c r="J278" s="12">
        <f t="shared" ca="1" si="159"/>
        <v>1951.8772375000219</v>
      </c>
      <c r="K278" s="177">
        <f t="shared" ca="1" si="160"/>
        <v>8204.6121794871469</v>
      </c>
      <c r="L278" s="177">
        <f t="shared" ca="1" si="161"/>
        <v>418435.22115385102</v>
      </c>
      <c r="M278" s="11">
        <f t="shared" ca="1" si="162"/>
        <v>-2.1145751816220582E-11</v>
      </c>
      <c r="N278" s="12">
        <f ca="1">IF(Y278=0, 0, ROUND(SUM(Y$17:Y278)-SUM(J$17:J278),0))</f>
        <v>0</v>
      </c>
      <c r="O278" s="12" t="str">
        <f t="shared" ca="1" si="163"/>
        <v/>
      </c>
      <c r="P278" s="12">
        <f t="shared" ca="1" si="164"/>
        <v>4580000</v>
      </c>
      <c r="Q278" s="178">
        <f t="shared" ref="Q278:T297" ca="1" si="193">OFFSET(Q278,-1,0,1,1)</f>
        <v>5000000</v>
      </c>
      <c r="R278" s="178">
        <f t="shared" ca="1" si="193"/>
        <v>0</v>
      </c>
      <c r="S278" s="178">
        <f t="shared" ca="1" si="193"/>
        <v>358488</v>
      </c>
      <c r="T278" s="178">
        <f t="shared" ca="1" si="193"/>
        <v>628000</v>
      </c>
      <c r="U278" s="179" t="str">
        <f t="shared" ca="1" si="165"/>
        <v/>
      </c>
      <c r="V278" s="180">
        <f t="shared" ca="1" si="157"/>
        <v>1.24</v>
      </c>
      <c r="W278" s="181">
        <f t="shared" ca="1" si="184"/>
        <v>52</v>
      </c>
      <c r="X278" s="177">
        <f t="shared" ca="1" si="166"/>
        <v>10156.48941698718</v>
      </c>
      <c r="Y278" s="12">
        <f t="shared" ca="1" si="167"/>
        <v>1951.8772375000008</v>
      </c>
      <c r="Z278" s="182">
        <f t="shared" ca="1" si="168"/>
        <v>418435.22115384636</v>
      </c>
      <c r="AA278" s="271">
        <f t="shared" ca="1" si="185"/>
        <v>0.22</v>
      </c>
      <c r="AB278" s="12">
        <f t="shared" ca="1" si="169"/>
        <v>9765.2964247371638</v>
      </c>
      <c r="AC278" s="12">
        <f t="shared" ca="1" si="170"/>
        <v>9765.2964247371801</v>
      </c>
      <c r="AD278" s="199"/>
      <c r="AE278" s="273">
        <f t="shared" ca="1" si="171"/>
        <v>1.6821425527395739E-3</v>
      </c>
      <c r="AF278" s="184">
        <f t="shared" ca="1" si="172"/>
        <v>0.64550306192522056</v>
      </c>
      <c r="AG278" s="12">
        <f t="shared" ca="1" si="173"/>
        <v>6303.5287427752482</v>
      </c>
      <c r="AH278" s="12">
        <f t="shared" ca="1" si="174"/>
        <v>6303.5287427752592</v>
      </c>
      <c r="AI278" s="185">
        <f t="shared" ca="1" si="175"/>
        <v>49</v>
      </c>
      <c r="AJ278" s="177">
        <f t="shared" ca="1" si="176"/>
        <v>49</v>
      </c>
      <c r="AK278" s="12">
        <f t="shared" ca="1" si="177"/>
        <v>-10205.48941698717</v>
      </c>
      <c r="AL278" s="185">
        <f t="shared" ca="1" si="186"/>
        <v>10156.48941698717</v>
      </c>
      <c r="AM278" s="177">
        <f t="shared" ca="1" si="187"/>
        <v>10194.025517708322</v>
      </c>
      <c r="AN278" s="177">
        <f t="shared" ca="1" si="188"/>
        <v>9237.8760857019097</v>
      </c>
      <c r="AO278" s="196">
        <f t="shared" ca="1" si="189"/>
        <v>52</v>
      </c>
      <c r="AP278" s="196">
        <f t="shared" ca="1" si="190"/>
        <v>47</v>
      </c>
      <c r="AQ278" s="177">
        <f t="shared" ca="1" si="191"/>
        <v>0</v>
      </c>
      <c r="AR278" s="177">
        <f t="shared" ca="1" si="192"/>
        <v>37.536100721152252</v>
      </c>
      <c r="AS278" s="189"/>
      <c r="AT278" s="190"/>
      <c r="AU278" s="190"/>
    </row>
    <row r="279" spans="1:47" x14ac:dyDescent="0.6">
      <c r="A279" s="152" t="str">
        <f t="shared" ca="1" si="158"/>
        <v>Oktober 2046</v>
      </c>
      <c r="B279" s="191">
        <v>0</v>
      </c>
      <c r="C279" s="270">
        <f t="shared" ca="1" si="178"/>
        <v>5.4899999999999997E-2</v>
      </c>
      <c r="D279" s="192" t="str">
        <f t="shared" ca="1" si="179"/>
        <v/>
      </c>
      <c r="E279" s="193" t="str">
        <f t="shared" ca="1" si="180"/>
        <v/>
      </c>
      <c r="F279" s="194">
        <f t="shared" ca="1" si="181"/>
        <v>49</v>
      </c>
      <c r="G279" s="14">
        <v>262</v>
      </c>
      <c r="H279" s="157">
        <f t="shared" ca="1" si="182"/>
        <v>51</v>
      </c>
      <c r="I279" s="16">
        <f t="shared" ca="1" si="183"/>
        <v>10118.953316266015</v>
      </c>
      <c r="J279" s="16">
        <f t="shared" ca="1" si="159"/>
        <v>1914.3411367788683</v>
      </c>
      <c r="K279" s="158">
        <f t="shared" ca="1" si="160"/>
        <v>8204.6121794871469</v>
      </c>
      <c r="L279" s="158">
        <f t="shared" ca="1" si="161"/>
        <v>410230.60897436389</v>
      </c>
      <c r="M279" s="15">
        <f t="shared" ca="1" si="162"/>
        <v>-2.1373125491663814E-11</v>
      </c>
      <c r="N279" s="16">
        <f ca="1">IF(Y279=0, 0, ROUND(SUM(Y$17:Y279)-SUM(J$17:J279),0))</f>
        <v>0</v>
      </c>
      <c r="O279" s="16" t="str">
        <f t="shared" ca="1" si="163"/>
        <v/>
      </c>
      <c r="P279" s="16" t="str">
        <f t="shared" ca="1" si="164"/>
        <v/>
      </c>
      <c r="Q279" s="160">
        <f t="shared" ca="1" si="193"/>
        <v>5000000</v>
      </c>
      <c r="R279" s="160">
        <f t="shared" ca="1" si="193"/>
        <v>0</v>
      </c>
      <c r="S279" s="160">
        <f t="shared" ca="1" si="193"/>
        <v>358488</v>
      </c>
      <c r="T279" s="160">
        <f t="shared" ca="1" si="193"/>
        <v>628000</v>
      </c>
      <c r="U279" s="161" t="str">
        <f t="shared" ca="1" si="165"/>
        <v/>
      </c>
      <c r="V279" s="162">
        <f t="shared" ca="1" si="157"/>
        <v>1.23</v>
      </c>
      <c r="W279" s="195">
        <f t="shared" ca="1" si="184"/>
        <v>51</v>
      </c>
      <c r="X279" s="158">
        <f t="shared" ca="1" si="166"/>
        <v>10118.953316266026</v>
      </c>
      <c r="Y279" s="16">
        <f t="shared" ca="1" si="167"/>
        <v>1914.3411367788469</v>
      </c>
      <c r="Z279" s="164">
        <f t="shared" ca="1" si="168"/>
        <v>410230.60897435917</v>
      </c>
      <c r="AA279" s="272">
        <f t="shared" ca="1" si="185"/>
        <v>0.22</v>
      </c>
      <c r="AB279" s="16">
        <f t="shared" ca="1" si="169"/>
        <v>9736.0182661746639</v>
      </c>
      <c r="AC279" s="16">
        <f t="shared" ca="1" si="170"/>
        <v>9736.0182661746803</v>
      </c>
      <c r="AD279" s="197"/>
      <c r="AE279" s="274">
        <f t="shared" ca="1" si="171"/>
        <v>1.6821425527395739E-3</v>
      </c>
      <c r="AF279" s="166">
        <f t="shared" ca="1" si="172"/>
        <v>0.64441723375683246</v>
      </c>
      <c r="AG279" s="16">
        <f t="shared" ca="1" si="173"/>
        <v>6274.0579588942692</v>
      </c>
      <c r="AH279" s="16">
        <f t="shared" ca="1" si="174"/>
        <v>6274.0579588942801</v>
      </c>
      <c r="AI279" s="168">
        <f t="shared" ca="1" si="175"/>
        <v>49</v>
      </c>
      <c r="AJ279" s="158">
        <f t="shared" ca="1" si="176"/>
        <v>49</v>
      </c>
      <c r="AK279" s="16">
        <f t="shared" ca="1" si="177"/>
        <v>-10167.953316266015</v>
      </c>
      <c r="AL279" s="168">
        <f t="shared" ca="1" si="186"/>
        <v>10118.953316266015</v>
      </c>
      <c r="AM279" s="158">
        <f t="shared" ca="1" si="187"/>
        <v>10156.48941698717</v>
      </c>
      <c r="AN279" s="158">
        <f t="shared" ca="1" si="188"/>
        <v>9217.6401049447377</v>
      </c>
      <c r="AO279" s="169">
        <f t="shared" ca="1" si="189"/>
        <v>51</v>
      </c>
      <c r="AP279" s="169">
        <f t="shared" ca="1" si="190"/>
        <v>46</v>
      </c>
      <c r="AQ279" s="158">
        <f t="shared" ca="1" si="191"/>
        <v>0</v>
      </c>
      <c r="AR279" s="158">
        <f t="shared" ca="1" si="192"/>
        <v>37.536100721154071</v>
      </c>
      <c r="AS279" s="170"/>
      <c r="AT279" s="159"/>
      <c r="AU279" s="159"/>
    </row>
    <row r="280" spans="1:47" x14ac:dyDescent="0.6">
      <c r="A280" s="171" t="str">
        <f t="shared" ca="1" si="158"/>
        <v>November 2046</v>
      </c>
      <c r="B280" s="191">
        <v>0</v>
      </c>
      <c r="C280" s="269">
        <f t="shared" ca="1" si="178"/>
        <v>5.4899999999999997E-2</v>
      </c>
      <c r="D280" s="173" t="str">
        <f t="shared" ca="1" si="179"/>
        <v/>
      </c>
      <c r="E280" s="174" t="str">
        <f t="shared" ca="1" si="180"/>
        <v/>
      </c>
      <c r="F280" s="175">
        <f t="shared" ca="1" si="181"/>
        <v>49</v>
      </c>
      <c r="G280" s="10">
        <v>263</v>
      </c>
      <c r="H280" s="176">
        <f t="shared" ca="1" si="182"/>
        <v>50</v>
      </c>
      <c r="I280" s="12">
        <f t="shared" ca="1" si="183"/>
        <v>10081.417215544861</v>
      </c>
      <c r="J280" s="12">
        <f t="shared" ca="1" si="159"/>
        <v>1876.8050360577147</v>
      </c>
      <c r="K280" s="177">
        <f t="shared" ca="1" si="160"/>
        <v>8204.6121794871469</v>
      </c>
      <c r="L280" s="177">
        <f t="shared" ca="1" si="161"/>
        <v>402025.99679487676</v>
      </c>
      <c r="M280" s="11">
        <f t="shared" ca="1" si="162"/>
        <v>-2.1373125491663814E-11</v>
      </c>
      <c r="N280" s="12">
        <f ca="1">IF(Y280=0, 0, ROUND(SUM(Y$17:Y280)-SUM(J$17:J280),0))</f>
        <v>0</v>
      </c>
      <c r="O280" s="12" t="str">
        <f t="shared" ca="1" si="163"/>
        <v/>
      </c>
      <c r="P280" s="12">
        <f t="shared" ca="1" si="164"/>
        <v>4590000</v>
      </c>
      <c r="Q280" s="178">
        <f t="shared" ca="1" si="193"/>
        <v>5000000</v>
      </c>
      <c r="R280" s="178">
        <f t="shared" ca="1" si="193"/>
        <v>0</v>
      </c>
      <c r="S280" s="178">
        <f t="shared" ca="1" si="193"/>
        <v>358488</v>
      </c>
      <c r="T280" s="178">
        <f t="shared" ca="1" si="193"/>
        <v>628000</v>
      </c>
      <c r="U280" s="179" t="str">
        <f t="shared" ca="1" si="165"/>
        <v/>
      </c>
      <c r="V280" s="180">
        <f t="shared" ca="1" si="157"/>
        <v>1.22</v>
      </c>
      <c r="W280" s="181">
        <f t="shared" ca="1" si="184"/>
        <v>50</v>
      </c>
      <c r="X280" s="177">
        <f t="shared" ca="1" si="166"/>
        <v>10081.417215544872</v>
      </c>
      <c r="Y280" s="12">
        <f t="shared" ca="1" si="167"/>
        <v>1876.8050360576933</v>
      </c>
      <c r="Z280" s="182">
        <f t="shared" ca="1" si="168"/>
        <v>402025.99679487204</v>
      </c>
      <c r="AA280" s="271">
        <f t="shared" ca="1" si="185"/>
        <v>0.22</v>
      </c>
      <c r="AB280" s="12">
        <f t="shared" ca="1" si="169"/>
        <v>9706.7401076121641</v>
      </c>
      <c r="AC280" s="12">
        <f t="shared" ca="1" si="170"/>
        <v>9706.7401076121805</v>
      </c>
      <c r="AD280" s="199"/>
      <c r="AE280" s="273">
        <f t="shared" ca="1" si="171"/>
        <v>1.6821425527395739E-3</v>
      </c>
      <c r="AF280" s="184">
        <f t="shared" ca="1" si="172"/>
        <v>0.64333323210621141</v>
      </c>
      <c r="AG280" s="12">
        <f t="shared" ca="1" si="173"/>
        <v>6244.6684866451278</v>
      </c>
      <c r="AH280" s="12">
        <f t="shared" ca="1" si="174"/>
        <v>6244.6684866451387</v>
      </c>
      <c r="AI280" s="185">
        <f t="shared" ca="1" si="175"/>
        <v>49</v>
      </c>
      <c r="AJ280" s="177">
        <f t="shared" ca="1" si="176"/>
        <v>49</v>
      </c>
      <c r="AK280" s="12">
        <f t="shared" ca="1" si="177"/>
        <v>-10130.417215544861</v>
      </c>
      <c r="AL280" s="185">
        <f t="shared" ca="1" si="186"/>
        <v>10081.417215544861</v>
      </c>
      <c r="AM280" s="177">
        <f t="shared" ca="1" si="187"/>
        <v>10118.953316266015</v>
      </c>
      <c r="AN280" s="177">
        <f t="shared" ca="1" si="188"/>
        <v>9197.4325259281941</v>
      </c>
      <c r="AO280" s="196">
        <f t="shared" ca="1" si="189"/>
        <v>50</v>
      </c>
      <c r="AP280" s="196">
        <f t="shared" ca="1" si="190"/>
        <v>45</v>
      </c>
      <c r="AQ280" s="177">
        <f t="shared" ca="1" si="191"/>
        <v>0</v>
      </c>
      <c r="AR280" s="177">
        <f t="shared" ca="1" si="192"/>
        <v>37.536100721154071</v>
      </c>
      <c r="AS280" s="189"/>
      <c r="AT280" s="190"/>
      <c r="AU280" s="190"/>
    </row>
    <row r="281" spans="1:47" x14ac:dyDescent="0.6">
      <c r="A281" s="152" t="str">
        <f t="shared" ca="1" si="158"/>
        <v>Desember 2046</v>
      </c>
      <c r="B281" s="191">
        <v>0</v>
      </c>
      <c r="C281" s="270">
        <f t="shared" ca="1" si="178"/>
        <v>5.4899999999999997E-2</v>
      </c>
      <c r="D281" s="192" t="str">
        <f t="shared" ca="1" si="179"/>
        <v/>
      </c>
      <c r="E281" s="193" t="str">
        <f t="shared" ca="1" si="180"/>
        <v/>
      </c>
      <c r="F281" s="194">
        <f t="shared" ca="1" si="181"/>
        <v>49</v>
      </c>
      <c r="G281" s="14">
        <v>264</v>
      </c>
      <c r="H281" s="157">
        <f t="shared" ca="1" si="182"/>
        <v>49</v>
      </c>
      <c r="I281" s="16">
        <f t="shared" ca="1" si="183"/>
        <v>10043.881114823707</v>
      </c>
      <c r="J281" s="16">
        <f t="shared" ca="1" si="159"/>
        <v>1839.2689353365611</v>
      </c>
      <c r="K281" s="158">
        <f t="shared" ca="1" si="160"/>
        <v>8204.6121794871469</v>
      </c>
      <c r="L281" s="158">
        <f t="shared" ca="1" si="161"/>
        <v>393821.38461538963</v>
      </c>
      <c r="M281" s="15">
        <f t="shared" ca="1" si="162"/>
        <v>-2.1600499167107046E-11</v>
      </c>
      <c r="N281" s="16">
        <f ca="1">IF(Y281=0, 0, ROUND(SUM(Y$17:Y281)-SUM(J$17:J281),0))</f>
        <v>0</v>
      </c>
      <c r="O281" s="16" t="str">
        <f t="shared" ca="1" si="163"/>
        <v/>
      </c>
      <c r="P281" s="16">
        <f t="shared" ca="1" si="164"/>
        <v>4600000</v>
      </c>
      <c r="Q281" s="160">
        <f t="shared" ca="1" si="193"/>
        <v>5000000</v>
      </c>
      <c r="R281" s="160">
        <f t="shared" ca="1" si="193"/>
        <v>0</v>
      </c>
      <c r="S281" s="160">
        <f t="shared" ca="1" si="193"/>
        <v>358488</v>
      </c>
      <c r="T281" s="160">
        <f t="shared" ca="1" si="193"/>
        <v>628000</v>
      </c>
      <c r="U281" s="161" t="str">
        <f t="shared" ca="1" si="165"/>
        <v/>
      </c>
      <c r="V281" s="162">
        <f t="shared" ca="1" si="157"/>
        <v>1.2</v>
      </c>
      <c r="W281" s="195">
        <f t="shared" ca="1" si="184"/>
        <v>49</v>
      </c>
      <c r="X281" s="158">
        <f t="shared" ca="1" si="166"/>
        <v>10043.881114823718</v>
      </c>
      <c r="Y281" s="16">
        <f t="shared" ca="1" si="167"/>
        <v>1839.2689353365395</v>
      </c>
      <c r="Z281" s="164">
        <f t="shared" ca="1" si="168"/>
        <v>393821.38461538486</v>
      </c>
      <c r="AA281" s="272">
        <f t="shared" ca="1" si="185"/>
        <v>0.22</v>
      </c>
      <c r="AB281" s="16">
        <f t="shared" ca="1" si="169"/>
        <v>9677.4619490496643</v>
      </c>
      <c r="AC281" s="16">
        <f t="shared" ca="1" si="170"/>
        <v>9677.4619490496807</v>
      </c>
      <c r="AD281" s="197"/>
      <c r="AE281" s="274">
        <f t="shared" ca="1" si="171"/>
        <v>1.6821425527395739E-3</v>
      </c>
      <c r="AF281" s="166">
        <f t="shared" ca="1" si="172"/>
        <v>0.6422510539008941</v>
      </c>
      <c r="AG281" s="16">
        <f t="shared" ca="1" si="173"/>
        <v>6215.3601358629476</v>
      </c>
      <c r="AH281" s="16">
        <f t="shared" ca="1" si="174"/>
        <v>6215.3601358629585</v>
      </c>
      <c r="AI281" s="168">
        <f t="shared" ca="1" si="175"/>
        <v>49</v>
      </c>
      <c r="AJ281" s="158">
        <f t="shared" ca="1" si="176"/>
        <v>49</v>
      </c>
      <c r="AK281" s="16">
        <f t="shared" ca="1" si="177"/>
        <v>-10092.881114823707</v>
      </c>
      <c r="AL281" s="168">
        <f t="shared" ca="1" si="186"/>
        <v>10043.881114823707</v>
      </c>
      <c r="AM281" s="158">
        <f t="shared" ca="1" si="187"/>
        <v>10081.417215544861</v>
      </c>
      <c r="AN281" s="158">
        <f t="shared" ca="1" si="188"/>
        <v>9177.25335462361</v>
      </c>
      <c r="AO281" s="169">
        <f t="shared" ca="1" si="189"/>
        <v>49</v>
      </c>
      <c r="AP281" s="169">
        <f t="shared" ca="1" si="190"/>
        <v>45</v>
      </c>
      <c r="AQ281" s="158">
        <f t="shared" ca="1" si="191"/>
        <v>0</v>
      </c>
      <c r="AR281" s="158">
        <f t="shared" ca="1" si="192"/>
        <v>37.536100721154071</v>
      </c>
      <c r="AS281" s="170"/>
      <c r="AT281" s="159"/>
      <c r="AU281" s="159"/>
    </row>
    <row r="282" spans="1:47" x14ac:dyDescent="0.6">
      <c r="A282" s="171" t="str">
        <f t="shared" ca="1" si="158"/>
        <v>Januar 2047</v>
      </c>
      <c r="B282" s="191">
        <v>0</v>
      </c>
      <c r="C282" s="269">
        <f t="shared" ca="1" si="178"/>
        <v>5.4899999999999997E-2</v>
      </c>
      <c r="D282" s="173" t="str">
        <f t="shared" ca="1" si="179"/>
        <v/>
      </c>
      <c r="E282" s="174" t="str">
        <f t="shared" ca="1" si="180"/>
        <v/>
      </c>
      <c r="F282" s="175">
        <f t="shared" ca="1" si="181"/>
        <v>49</v>
      </c>
      <c r="G282" s="10">
        <v>265</v>
      </c>
      <c r="H282" s="176">
        <f t="shared" ca="1" si="182"/>
        <v>48</v>
      </c>
      <c r="I282" s="12">
        <f t="shared" ca="1" si="183"/>
        <v>10006.345014102555</v>
      </c>
      <c r="J282" s="12">
        <f t="shared" ca="1" si="159"/>
        <v>1801.7328346154075</v>
      </c>
      <c r="K282" s="177">
        <f t="shared" ca="1" si="160"/>
        <v>8204.6121794871469</v>
      </c>
      <c r="L282" s="177">
        <f t="shared" ca="1" si="161"/>
        <v>385616.7724359025</v>
      </c>
      <c r="M282" s="11">
        <f t="shared" ca="1" si="162"/>
        <v>-2.1827872842550278E-11</v>
      </c>
      <c r="N282" s="12">
        <f ca="1">IF(Y282=0, 0, ROUND(SUM(Y$17:Y282)-SUM(J$17:J282),0))</f>
        <v>0</v>
      </c>
      <c r="O282" s="12" t="str">
        <f t="shared" ca="1" si="163"/>
        <v/>
      </c>
      <c r="P282" s="12">
        <f t="shared" ca="1" si="164"/>
        <v>4610000</v>
      </c>
      <c r="Q282" s="178">
        <f t="shared" ca="1" si="193"/>
        <v>5000000</v>
      </c>
      <c r="R282" s="178">
        <f t="shared" ca="1" si="193"/>
        <v>0</v>
      </c>
      <c r="S282" s="178">
        <f t="shared" ca="1" si="193"/>
        <v>358488</v>
      </c>
      <c r="T282" s="178">
        <f t="shared" ca="1" si="193"/>
        <v>628000</v>
      </c>
      <c r="U282" s="179" t="str">
        <f t="shared" ca="1" si="165"/>
        <v/>
      </c>
      <c r="V282" s="180">
        <f t="shared" ca="1" si="157"/>
        <v>1.19</v>
      </c>
      <c r="W282" s="181">
        <f t="shared" ca="1" si="184"/>
        <v>48</v>
      </c>
      <c r="X282" s="177">
        <f t="shared" ca="1" si="166"/>
        <v>10006.345014102566</v>
      </c>
      <c r="Y282" s="12">
        <f t="shared" ca="1" si="167"/>
        <v>1801.7328346153856</v>
      </c>
      <c r="Z282" s="182">
        <f t="shared" ca="1" si="168"/>
        <v>385616.77243589767</v>
      </c>
      <c r="AA282" s="271">
        <f t="shared" ca="1" si="185"/>
        <v>0.22</v>
      </c>
      <c r="AB282" s="12">
        <f t="shared" ca="1" si="169"/>
        <v>9648.1837904871645</v>
      </c>
      <c r="AC282" s="12">
        <f t="shared" ca="1" si="170"/>
        <v>9648.1837904871809</v>
      </c>
      <c r="AD282" s="199"/>
      <c r="AE282" s="273">
        <f t="shared" ca="1" si="171"/>
        <v>1.6821425527395739E-3</v>
      </c>
      <c r="AF282" s="184">
        <f t="shared" ca="1" si="172"/>
        <v>0.64117069607358557</v>
      </c>
      <c r="AG282" s="12">
        <f t="shared" ca="1" si="173"/>
        <v>6186.1327167925401</v>
      </c>
      <c r="AH282" s="12">
        <f t="shared" ca="1" si="174"/>
        <v>6186.132716792551</v>
      </c>
      <c r="AI282" s="185">
        <f t="shared" ca="1" si="175"/>
        <v>49</v>
      </c>
      <c r="AJ282" s="177">
        <f t="shared" ca="1" si="176"/>
        <v>49</v>
      </c>
      <c r="AK282" s="12">
        <f t="shared" ca="1" si="177"/>
        <v>-10055.345014102555</v>
      </c>
      <c r="AL282" s="185">
        <f t="shared" ca="1" si="186"/>
        <v>10006.345014102555</v>
      </c>
      <c r="AM282" s="177">
        <f t="shared" ca="1" si="187"/>
        <v>10043.881114823707</v>
      </c>
      <c r="AN282" s="177">
        <f t="shared" ca="1" si="188"/>
        <v>9157.1025968855247</v>
      </c>
      <c r="AO282" s="196">
        <f t="shared" ca="1" si="189"/>
        <v>48</v>
      </c>
      <c r="AP282" s="196">
        <f t="shared" ca="1" si="190"/>
        <v>44</v>
      </c>
      <c r="AQ282" s="177">
        <f t="shared" ca="1" si="191"/>
        <v>0</v>
      </c>
      <c r="AR282" s="177">
        <f t="shared" ca="1" si="192"/>
        <v>37.536100721152252</v>
      </c>
      <c r="AS282" s="189"/>
      <c r="AT282" s="190"/>
      <c r="AU282" s="190"/>
    </row>
    <row r="283" spans="1:47" x14ac:dyDescent="0.6">
      <c r="A283" s="152" t="str">
        <f t="shared" ca="1" si="158"/>
        <v>Februar 2047</v>
      </c>
      <c r="B283" s="191">
        <v>0</v>
      </c>
      <c r="C283" s="270">
        <f t="shared" ca="1" si="178"/>
        <v>5.4899999999999997E-2</v>
      </c>
      <c r="D283" s="192" t="str">
        <f t="shared" ca="1" si="179"/>
        <v/>
      </c>
      <c r="E283" s="193" t="str">
        <f t="shared" ca="1" si="180"/>
        <v/>
      </c>
      <c r="F283" s="194">
        <f t="shared" ca="1" si="181"/>
        <v>49</v>
      </c>
      <c r="G283" s="14">
        <v>266</v>
      </c>
      <c r="H283" s="157">
        <f t="shared" ca="1" si="182"/>
        <v>47</v>
      </c>
      <c r="I283" s="16">
        <f t="shared" ca="1" si="183"/>
        <v>9968.808913381401</v>
      </c>
      <c r="J283" s="16">
        <f t="shared" ca="1" si="159"/>
        <v>1764.1967338942538</v>
      </c>
      <c r="K283" s="158">
        <f t="shared" ca="1" si="160"/>
        <v>8204.6121794871469</v>
      </c>
      <c r="L283" s="158">
        <f t="shared" ca="1" si="161"/>
        <v>377412.16025641537</v>
      </c>
      <c r="M283" s="15">
        <f t="shared" ca="1" si="162"/>
        <v>-2.2282620193436742E-11</v>
      </c>
      <c r="N283" s="16">
        <f ca="1">IF(Y283=0, 0, ROUND(SUM(Y$17:Y283)-SUM(J$17:J283),0))</f>
        <v>0</v>
      </c>
      <c r="O283" s="16" t="str">
        <f t="shared" ca="1" si="163"/>
        <v/>
      </c>
      <c r="P283" s="16">
        <f t="shared" ca="1" si="164"/>
        <v>4620000</v>
      </c>
      <c r="Q283" s="160">
        <f t="shared" ca="1" si="193"/>
        <v>5000000</v>
      </c>
      <c r="R283" s="160">
        <f t="shared" ca="1" si="193"/>
        <v>0</v>
      </c>
      <c r="S283" s="160">
        <f t="shared" ca="1" si="193"/>
        <v>358488</v>
      </c>
      <c r="T283" s="160">
        <f t="shared" ca="1" si="193"/>
        <v>628000</v>
      </c>
      <c r="U283" s="161" t="str">
        <f t="shared" ca="1" si="165"/>
        <v/>
      </c>
      <c r="V283" s="162">
        <f t="shared" ca="1" si="157"/>
        <v>1.18</v>
      </c>
      <c r="W283" s="195">
        <f t="shared" ca="1" si="184"/>
        <v>47</v>
      </c>
      <c r="X283" s="158">
        <f t="shared" ca="1" si="166"/>
        <v>9968.8089133814119</v>
      </c>
      <c r="Y283" s="16">
        <f t="shared" ca="1" si="167"/>
        <v>1764.1967338942316</v>
      </c>
      <c r="Z283" s="164">
        <f t="shared" ca="1" si="168"/>
        <v>377412.16025641048</v>
      </c>
      <c r="AA283" s="272">
        <f t="shared" ca="1" si="185"/>
        <v>0.22</v>
      </c>
      <c r="AB283" s="16">
        <f t="shared" ca="1" si="169"/>
        <v>9618.9056319246647</v>
      </c>
      <c r="AC283" s="16">
        <f t="shared" ca="1" si="170"/>
        <v>9618.9056319246811</v>
      </c>
      <c r="AD283" s="197"/>
      <c r="AE283" s="274">
        <f t="shared" ca="1" si="171"/>
        <v>1.6821425527395739E-3</v>
      </c>
      <c r="AF283" s="166">
        <f t="shared" ca="1" si="172"/>
        <v>0.64009215556215049</v>
      </c>
      <c r="AG283" s="16">
        <f t="shared" ca="1" si="173"/>
        <v>6156.9860400875677</v>
      </c>
      <c r="AH283" s="16">
        <f t="shared" ca="1" si="174"/>
        <v>6156.9860400875787</v>
      </c>
      <c r="AI283" s="168">
        <f t="shared" ca="1" si="175"/>
        <v>49</v>
      </c>
      <c r="AJ283" s="158">
        <f t="shared" ca="1" si="176"/>
        <v>49</v>
      </c>
      <c r="AK283" s="16">
        <f t="shared" ca="1" si="177"/>
        <v>-10017.808913381401</v>
      </c>
      <c r="AL283" s="168">
        <f t="shared" ca="1" si="186"/>
        <v>9968.808913381401</v>
      </c>
      <c r="AM283" s="158">
        <f t="shared" ca="1" si="187"/>
        <v>10006.345014102555</v>
      </c>
      <c r="AN283" s="158">
        <f t="shared" ca="1" si="188"/>
        <v>9136.9802584516037</v>
      </c>
      <c r="AO283" s="169">
        <f t="shared" ca="1" si="189"/>
        <v>47</v>
      </c>
      <c r="AP283" s="169">
        <f t="shared" ca="1" si="190"/>
        <v>43</v>
      </c>
      <c r="AQ283" s="158">
        <f t="shared" ca="1" si="191"/>
        <v>0</v>
      </c>
      <c r="AR283" s="158">
        <f t="shared" ca="1" si="192"/>
        <v>37.536100721154071</v>
      </c>
      <c r="AS283" s="170"/>
      <c r="AT283" s="159"/>
      <c r="AU283" s="159"/>
    </row>
    <row r="284" spans="1:47" x14ac:dyDescent="0.6">
      <c r="A284" s="171" t="str">
        <f t="shared" ca="1" si="158"/>
        <v>Mars 2047</v>
      </c>
      <c r="B284" s="191">
        <v>0</v>
      </c>
      <c r="C284" s="269">
        <f t="shared" ca="1" si="178"/>
        <v>5.4899999999999997E-2</v>
      </c>
      <c r="D284" s="173" t="str">
        <f t="shared" ca="1" si="179"/>
        <v/>
      </c>
      <c r="E284" s="174" t="str">
        <f t="shared" ca="1" si="180"/>
        <v/>
      </c>
      <c r="F284" s="175">
        <f t="shared" ca="1" si="181"/>
        <v>49</v>
      </c>
      <c r="G284" s="10">
        <v>267</v>
      </c>
      <c r="H284" s="176">
        <f t="shared" ca="1" si="182"/>
        <v>46</v>
      </c>
      <c r="I284" s="12">
        <f t="shared" ca="1" si="183"/>
        <v>9931.2728126602469</v>
      </c>
      <c r="J284" s="12">
        <f t="shared" ca="1" si="159"/>
        <v>1726.6606331731002</v>
      </c>
      <c r="K284" s="177">
        <f t="shared" ca="1" si="160"/>
        <v>8204.6121794871469</v>
      </c>
      <c r="L284" s="177">
        <f t="shared" ca="1" si="161"/>
        <v>369207.54807692824</v>
      </c>
      <c r="M284" s="11">
        <f t="shared" ca="1" si="162"/>
        <v>-2.2282620193436742E-11</v>
      </c>
      <c r="N284" s="12">
        <f ca="1">IF(Y284=0, 0, ROUND(SUM(Y$17:Y284)-SUM(J$17:J284),0))</f>
        <v>0</v>
      </c>
      <c r="O284" s="12" t="str">
        <f t="shared" ca="1" si="163"/>
        <v/>
      </c>
      <c r="P284" s="12">
        <f t="shared" ca="1" si="164"/>
        <v>4630000</v>
      </c>
      <c r="Q284" s="178">
        <f t="shared" ca="1" si="193"/>
        <v>5000000</v>
      </c>
      <c r="R284" s="178">
        <f t="shared" ca="1" si="193"/>
        <v>0</v>
      </c>
      <c r="S284" s="178">
        <f t="shared" ca="1" si="193"/>
        <v>358488</v>
      </c>
      <c r="T284" s="178">
        <f t="shared" ca="1" si="193"/>
        <v>628000</v>
      </c>
      <c r="U284" s="179" t="str">
        <f t="shared" ca="1" si="165"/>
        <v/>
      </c>
      <c r="V284" s="180">
        <f t="shared" ca="1" si="157"/>
        <v>1.1599999999999999</v>
      </c>
      <c r="W284" s="181">
        <f t="shared" ca="1" si="184"/>
        <v>46</v>
      </c>
      <c r="X284" s="177">
        <f t="shared" ca="1" si="166"/>
        <v>9931.2728126602578</v>
      </c>
      <c r="Y284" s="12">
        <f t="shared" ca="1" si="167"/>
        <v>1726.6606331730779</v>
      </c>
      <c r="Z284" s="182">
        <f t="shared" ca="1" si="168"/>
        <v>369207.5480769233</v>
      </c>
      <c r="AA284" s="271">
        <f t="shared" ca="1" si="185"/>
        <v>0.22</v>
      </c>
      <c r="AB284" s="12">
        <f t="shared" ca="1" si="169"/>
        <v>9589.6274733621649</v>
      </c>
      <c r="AC284" s="12">
        <f t="shared" ca="1" si="170"/>
        <v>9589.6274733621813</v>
      </c>
      <c r="AD284" s="199"/>
      <c r="AE284" s="273">
        <f t="shared" ca="1" si="171"/>
        <v>1.6821425527395739E-3</v>
      </c>
      <c r="AF284" s="184">
        <f t="shared" ca="1" si="172"/>
        <v>0.63901542930960464</v>
      </c>
      <c r="AG284" s="12">
        <f t="shared" ca="1" si="173"/>
        <v>6127.919916809703</v>
      </c>
      <c r="AH284" s="12">
        <f t="shared" ca="1" si="174"/>
        <v>6127.9199168097139</v>
      </c>
      <c r="AI284" s="185">
        <f t="shared" ca="1" si="175"/>
        <v>49</v>
      </c>
      <c r="AJ284" s="177">
        <f t="shared" ca="1" si="176"/>
        <v>49</v>
      </c>
      <c r="AK284" s="12">
        <f t="shared" ca="1" si="177"/>
        <v>-9980.2728126602469</v>
      </c>
      <c r="AL284" s="185">
        <f t="shared" ca="1" si="186"/>
        <v>9931.2728126602469</v>
      </c>
      <c r="AM284" s="177">
        <f t="shared" ca="1" si="187"/>
        <v>9968.808913381401</v>
      </c>
      <c r="AN284" s="177">
        <f t="shared" ca="1" si="188"/>
        <v>9116.8863449425407</v>
      </c>
      <c r="AO284" s="196">
        <f t="shared" ca="1" si="189"/>
        <v>46</v>
      </c>
      <c r="AP284" s="196">
        <f t="shared" ca="1" si="190"/>
        <v>42</v>
      </c>
      <c r="AQ284" s="177">
        <f t="shared" ca="1" si="191"/>
        <v>0</v>
      </c>
      <c r="AR284" s="177">
        <f t="shared" ca="1" si="192"/>
        <v>37.536100721154071</v>
      </c>
      <c r="AS284" s="189"/>
      <c r="AT284" s="190"/>
      <c r="AU284" s="190"/>
    </row>
    <row r="285" spans="1:47" x14ac:dyDescent="0.6">
      <c r="A285" s="152" t="str">
        <f t="shared" ca="1" si="158"/>
        <v>April 2047</v>
      </c>
      <c r="B285" s="191">
        <v>0</v>
      </c>
      <c r="C285" s="270">
        <f t="shared" ca="1" si="178"/>
        <v>5.4899999999999997E-2</v>
      </c>
      <c r="D285" s="192" t="str">
        <f t="shared" ca="1" si="179"/>
        <v/>
      </c>
      <c r="E285" s="193" t="str">
        <f t="shared" ca="1" si="180"/>
        <v/>
      </c>
      <c r="F285" s="194">
        <f t="shared" ca="1" si="181"/>
        <v>49</v>
      </c>
      <c r="G285" s="14">
        <v>268</v>
      </c>
      <c r="H285" s="157">
        <f t="shared" ca="1" si="182"/>
        <v>45</v>
      </c>
      <c r="I285" s="16">
        <f t="shared" ca="1" si="183"/>
        <v>9893.7367119390929</v>
      </c>
      <c r="J285" s="16">
        <f t="shared" ca="1" si="159"/>
        <v>1689.1245324519466</v>
      </c>
      <c r="K285" s="158">
        <f t="shared" ca="1" si="160"/>
        <v>8204.6121794871469</v>
      </c>
      <c r="L285" s="158">
        <f t="shared" ca="1" si="161"/>
        <v>361002.93589744112</v>
      </c>
      <c r="M285" s="15">
        <f t="shared" ca="1" si="162"/>
        <v>-2.2509993868879974E-11</v>
      </c>
      <c r="N285" s="16">
        <f ca="1">IF(Y285=0, 0, ROUND(SUM(Y$17:Y285)-SUM(J$17:J285),0))</f>
        <v>0</v>
      </c>
      <c r="O285" s="16" t="str">
        <f t="shared" ca="1" si="163"/>
        <v/>
      </c>
      <c r="P285" s="16" t="str">
        <f t="shared" ca="1" si="164"/>
        <v/>
      </c>
      <c r="Q285" s="160">
        <f t="shared" ca="1" si="193"/>
        <v>5000000</v>
      </c>
      <c r="R285" s="160">
        <f t="shared" ca="1" si="193"/>
        <v>0</v>
      </c>
      <c r="S285" s="160">
        <f t="shared" ca="1" si="193"/>
        <v>358488</v>
      </c>
      <c r="T285" s="160">
        <f t="shared" ca="1" si="193"/>
        <v>628000</v>
      </c>
      <c r="U285" s="161" t="str">
        <f t="shared" ca="1" si="165"/>
        <v/>
      </c>
      <c r="V285" s="162">
        <f t="shared" ca="1" si="157"/>
        <v>1.1499999999999999</v>
      </c>
      <c r="W285" s="195">
        <f t="shared" ca="1" si="184"/>
        <v>45</v>
      </c>
      <c r="X285" s="158">
        <f t="shared" ca="1" si="166"/>
        <v>9893.7367119391038</v>
      </c>
      <c r="Y285" s="16">
        <f t="shared" ca="1" si="167"/>
        <v>1689.1245324519241</v>
      </c>
      <c r="Z285" s="164">
        <f t="shared" ca="1" si="168"/>
        <v>361002.93589743611</v>
      </c>
      <c r="AA285" s="272">
        <f t="shared" ca="1" si="185"/>
        <v>0.22</v>
      </c>
      <c r="AB285" s="16">
        <f t="shared" ca="1" si="169"/>
        <v>9560.3493147996651</v>
      </c>
      <c r="AC285" s="16">
        <f t="shared" ca="1" si="170"/>
        <v>9560.3493147996815</v>
      </c>
      <c r="AD285" s="197"/>
      <c r="AE285" s="274">
        <f t="shared" ca="1" si="171"/>
        <v>1.6821425527395739E-3</v>
      </c>
      <c r="AF285" s="166">
        <f t="shared" ca="1" si="172"/>
        <v>0.63794051426410581</v>
      </c>
      <c r="AG285" s="16">
        <f t="shared" ca="1" si="173"/>
        <v>6098.93415842779</v>
      </c>
      <c r="AH285" s="16">
        <f t="shared" ca="1" si="174"/>
        <v>6098.9341584278</v>
      </c>
      <c r="AI285" s="168">
        <f t="shared" ca="1" si="175"/>
        <v>49</v>
      </c>
      <c r="AJ285" s="158">
        <f t="shared" ca="1" si="176"/>
        <v>49</v>
      </c>
      <c r="AK285" s="16">
        <f t="shared" ca="1" si="177"/>
        <v>-9942.7367119390929</v>
      </c>
      <c r="AL285" s="168">
        <f t="shared" ca="1" si="186"/>
        <v>9893.7367119390929</v>
      </c>
      <c r="AM285" s="158">
        <f t="shared" ca="1" si="187"/>
        <v>9931.2728126602469</v>
      </c>
      <c r="AN285" s="158">
        <f t="shared" ca="1" si="188"/>
        <v>9096.820861861981</v>
      </c>
      <c r="AO285" s="169">
        <f t="shared" ca="1" si="189"/>
        <v>45</v>
      </c>
      <c r="AP285" s="169">
        <f t="shared" ca="1" si="190"/>
        <v>41</v>
      </c>
      <c r="AQ285" s="158">
        <f t="shared" ca="1" si="191"/>
        <v>0</v>
      </c>
      <c r="AR285" s="158">
        <f t="shared" ca="1" si="192"/>
        <v>37.536100721154071</v>
      </c>
      <c r="AS285" s="170"/>
      <c r="AT285" s="159"/>
      <c r="AU285" s="159"/>
    </row>
    <row r="286" spans="1:47" x14ac:dyDescent="0.6">
      <c r="A286" s="171" t="str">
        <f t="shared" ca="1" si="158"/>
        <v>Mai 2047</v>
      </c>
      <c r="B286" s="191">
        <v>0</v>
      </c>
      <c r="C286" s="269">
        <f t="shared" ca="1" si="178"/>
        <v>5.4899999999999997E-2</v>
      </c>
      <c r="D286" s="173" t="str">
        <f t="shared" ca="1" si="179"/>
        <v/>
      </c>
      <c r="E286" s="174" t="str">
        <f t="shared" ca="1" si="180"/>
        <v/>
      </c>
      <c r="F286" s="175">
        <f t="shared" ca="1" si="181"/>
        <v>49</v>
      </c>
      <c r="G286" s="10">
        <v>269</v>
      </c>
      <c r="H286" s="176">
        <f t="shared" ca="1" si="182"/>
        <v>44</v>
      </c>
      <c r="I286" s="12">
        <f t="shared" ca="1" si="183"/>
        <v>9856.2006112179406</v>
      </c>
      <c r="J286" s="12">
        <f t="shared" ca="1" si="159"/>
        <v>1651.588431730793</v>
      </c>
      <c r="K286" s="177">
        <f t="shared" ca="1" si="160"/>
        <v>8204.6121794871469</v>
      </c>
      <c r="L286" s="177">
        <f t="shared" ca="1" si="161"/>
        <v>352798.32371795399</v>
      </c>
      <c r="M286" s="11">
        <f t="shared" ca="1" si="162"/>
        <v>-2.2964741219766438E-11</v>
      </c>
      <c r="N286" s="12">
        <f ca="1">IF(Y286=0, 0, ROUND(SUM(Y$17:Y286)-SUM(J$17:J286),0))</f>
        <v>0</v>
      </c>
      <c r="O286" s="12" t="str">
        <f t="shared" ca="1" si="163"/>
        <v/>
      </c>
      <c r="P286" s="12">
        <f t="shared" ca="1" si="164"/>
        <v>4640000</v>
      </c>
      <c r="Q286" s="178">
        <f t="shared" ca="1" si="193"/>
        <v>5000000</v>
      </c>
      <c r="R286" s="178">
        <f t="shared" ca="1" si="193"/>
        <v>0</v>
      </c>
      <c r="S286" s="178">
        <f t="shared" ca="1" si="193"/>
        <v>358488</v>
      </c>
      <c r="T286" s="178">
        <f t="shared" ca="1" si="193"/>
        <v>628000</v>
      </c>
      <c r="U286" s="179" t="str">
        <f t="shared" ca="1" si="165"/>
        <v/>
      </c>
      <c r="V286" s="180">
        <f t="shared" ca="1" si="157"/>
        <v>1.1399999999999999</v>
      </c>
      <c r="W286" s="181">
        <f t="shared" ca="1" si="184"/>
        <v>44</v>
      </c>
      <c r="X286" s="177">
        <f t="shared" ca="1" si="166"/>
        <v>9856.2006112179497</v>
      </c>
      <c r="Y286" s="12">
        <f t="shared" ca="1" si="167"/>
        <v>1651.58843173077</v>
      </c>
      <c r="Z286" s="182">
        <f t="shared" ca="1" si="168"/>
        <v>352798.32371794892</v>
      </c>
      <c r="AA286" s="271">
        <f t="shared" ca="1" si="185"/>
        <v>0.22</v>
      </c>
      <c r="AB286" s="12">
        <f t="shared" ca="1" si="169"/>
        <v>9531.0711562371653</v>
      </c>
      <c r="AC286" s="12">
        <f t="shared" ca="1" si="170"/>
        <v>9531.0711562371798</v>
      </c>
      <c r="AD286" s="199"/>
      <c r="AE286" s="273">
        <f t="shared" ca="1" si="171"/>
        <v>1.6821425527395739E-3</v>
      </c>
      <c r="AF286" s="184">
        <f t="shared" ca="1" si="172"/>
        <v>0.63686740737894554</v>
      </c>
      <c r="AG286" s="12">
        <f t="shared" ca="1" si="173"/>
        <v>6070.0285768170124</v>
      </c>
      <c r="AH286" s="12">
        <f t="shared" ca="1" si="174"/>
        <v>6070.0285768170215</v>
      </c>
      <c r="AI286" s="185">
        <f t="shared" ca="1" si="175"/>
        <v>49</v>
      </c>
      <c r="AJ286" s="177">
        <f t="shared" ca="1" si="176"/>
        <v>49</v>
      </c>
      <c r="AK286" s="12">
        <f t="shared" ca="1" si="177"/>
        <v>-9905.2006112179406</v>
      </c>
      <c r="AL286" s="185">
        <f t="shared" ca="1" si="186"/>
        <v>9856.2006112179406</v>
      </c>
      <c r="AM286" s="177">
        <f t="shared" ca="1" si="187"/>
        <v>9893.7367119390929</v>
      </c>
      <c r="AN286" s="177">
        <f t="shared" ca="1" si="188"/>
        <v>9076.7838145964415</v>
      </c>
      <c r="AO286" s="196">
        <f t="shared" ca="1" si="189"/>
        <v>44</v>
      </c>
      <c r="AP286" s="196">
        <f t="shared" ca="1" si="190"/>
        <v>41</v>
      </c>
      <c r="AQ286" s="177">
        <f t="shared" ca="1" si="191"/>
        <v>0</v>
      </c>
      <c r="AR286" s="177">
        <f t="shared" ca="1" si="192"/>
        <v>37.536100721152252</v>
      </c>
      <c r="AS286" s="189"/>
      <c r="AT286" s="190"/>
      <c r="AU286" s="190"/>
    </row>
    <row r="287" spans="1:47" x14ac:dyDescent="0.6">
      <c r="A287" s="152" t="str">
        <f t="shared" ca="1" si="158"/>
        <v>Juni 2047</v>
      </c>
      <c r="B287" s="191">
        <v>0</v>
      </c>
      <c r="C287" s="270">
        <f t="shared" ca="1" si="178"/>
        <v>5.4899999999999997E-2</v>
      </c>
      <c r="D287" s="192" t="str">
        <f t="shared" ca="1" si="179"/>
        <v/>
      </c>
      <c r="E287" s="193" t="str">
        <f t="shared" ca="1" si="180"/>
        <v/>
      </c>
      <c r="F287" s="194">
        <f t="shared" ca="1" si="181"/>
        <v>49</v>
      </c>
      <c r="G287" s="14">
        <v>270</v>
      </c>
      <c r="H287" s="157">
        <f t="shared" ca="1" si="182"/>
        <v>43</v>
      </c>
      <c r="I287" s="16">
        <f t="shared" ca="1" si="183"/>
        <v>9818.6645104967865</v>
      </c>
      <c r="J287" s="16">
        <f t="shared" ca="1" si="159"/>
        <v>1614.0523310096394</v>
      </c>
      <c r="K287" s="158">
        <f t="shared" ca="1" si="160"/>
        <v>8204.6121794871469</v>
      </c>
      <c r="L287" s="158">
        <f t="shared" ca="1" si="161"/>
        <v>344593.71153846686</v>
      </c>
      <c r="M287" s="15">
        <f t="shared" ca="1" si="162"/>
        <v>-2.319211489520967E-11</v>
      </c>
      <c r="N287" s="16">
        <f ca="1">IF(Y287=0, 0, ROUND(SUM(Y$17:Y287)-SUM(J$17:J287),0))</f>
        <v>0</v>
      </c>
      <c r="O287" s="16" t="str">
        <f t="shared" ca="1" si="163"/>
        <v/>
      </c>
      <c r="P287" s="16">
        <f t="shared" ca="1" si="164"/>
        <v>4650000</v>
      </c>
      <c r="Q287" s="160">
        <f t="shared" ca="1" si="193"/>
        <v>5000000</v>
      </c>
      <c r="R287" s="160">
        <f t="shared" ca="1" si="193"/>
        <v>0</v>
      </c>
      <c r="S287" s="160">
        <f t="shared" ca="1" si="193"/>
        <v>358488</v>
      </c>
      <c r="T287" s="160">
        <f t="shared" ca="1" si="193"/>
        <v>628000</v>
      </c>
      <c r="U287" s="161" t="str">
        <f t="shared" ca="1" si="165"/>
        <v/>
      </c>
      <c r="V287" s="162">
        <f t="shared" ca="1" si="157"/>
        <v>1.1200000000000001</v>
      </c>
      <c r="W287" s="195">
        <f t="shared" ca="1" si="184"/>
        <v>43</v>
      </c>
      <c r="X287" s="158">
        <f t="shared" ca="1" si="166"/>
        <v>9818.6645104967956</v>
      </c>
      <c r="Y287" s="16">
        <f t="shared" ca="1" si="167"/>
        <v>1614.0523310096162</v>
      </c>
      <c r="Z287" s="164">
        <f t="shared" ca="1" si="168"/>
        <v>344593.71153846174</v>
      </c>
      <c r="AA287" s="272">
        <f t="shared" ca="1" si="185"/>
        <v>0.22</v>
      </c>
      <c r="AB287" s="16">
        <f t="shared" ca="1" si="169"/>
        <v>9501.7929976746655</v>
      </c>
      <c r="AC287" s="16">
        <f t="shared" ca="1" si="170"/>
        <v>9501.79299767468</v>
      </c>
      <c r="AD287" s="197"/>
      <c r="AE287" s="274">
        <f t="shared" ca="1" si="171"/>
        <v>1.6821425527395739E-3</v>
      </c>
      <c r="AF287" s="166">
        <f t="shared" ca="1" si="172"/>
        <v>0.63579610561254052</v>
      </c>
      <c r="AG287" s="16">
        <f t="shared" ca="1" si="173"/>
        <v>6041.2029842580596</v>
      </c>
      <c r="AH287" s="16">
        <f t="shared" ca="1" si="174"/>
        <v>6041.2029842580687</v>
      </c>
      <c r="AI287" s="168">
        <f t="shared" ca="1" si="175"/>
        <v>49</v>
      </c>
      <c r="AJ287" s="158">
        <f t="shared" ca="1" si="176"/>
        <v>49</v>
      </c>
      <c r="AK287" s="16">
        <f t="shared" ca="1" si="177"/>
        <v>-9867.6645104967865</v>
      </c>
      <c r="AL287" s="168">
        <f t="shared" ca="1" si="186"/>
        <v>9818.6645104967865</v>
      </c>
      <c r="AM287" s="158">
        <f t="shared" ca="1" si="187"/>
        <v>9856.2006112179406</v>
      </c>
      <c r="AN287" s="158">
        <f t="shared" ca="1" si="188"/>
        <v>9056.7752084152307</v>
      </c>
      <c r="AO287" s="169">
        <f t="shared" ca="1" si="189"/>
        <v>43</v>
      </c>
      <c r="AP287" s="169">
        <f t="shared" ca="1" si="190"/>
        <v>40</v>
      </c>
      <c r="AQ287" s="158">
        <f t="shared" ca="1" si="191"/>
        <v>0</v>
      </c>
      <c r="AR287" s="158">
        <f t="shared" ca="1" si="192"/>
        <v>37.536100721154071</v>
      </c>
      <c r="AS287" s="170"/>
      <c r="AT287" s="159"/>
      <c r="AU287" s="159"/>
    </row>
    <row r="288" spans="1:47" x14ac:dyDescent="0.6">
      <c r="A288" s="171" t="str">
        <f t="shared" ca="1" si="158"/>
        <v>Juli 2047</v>
      </c>
      <c r="B288" s="191">
        <v>0</v>
      </c>
      <c r="C288" s="269">
        <f t="shared" ca="1" si="178"/>
        <v>5.4899999999999997E-2</v>
      </c>
      <c r="D288" s="173" t="str">
        <f t="shared" ca="1" si="179"/>
        <v/>
      </c>
      <c r="E288" s="174" t="str">
        <f t="shared" ca="1" si="180"/>
        <v/>
      </c>
      <c r="F288" s="175">
        <f t="shared" ca="1" si="181"/>
        <v>49</v>
      </c>
      <c r="G288" s="10">
        <v>271</v>
      </c>
      <c r="H288" s="176">
        <f t="shared" ca="1" si="182"/>
        <v>42</v>
      </c>
      <c r="I288" s="12">
        <f t="shared" ca="1" si="183"/>
        <v>9781.1284097756325</v>
      </c>
      <c r="J288" s="12">
        <f t="shared" ca="1" si="159"/>
        <v>1576.5162302884858</v>
      </c>
      <c r="K288" s="177">
        <f t="shared" ca="1" si="160"/>
        <v>8204.6121794871469</v>
      </c>
      <c r="L288" s="177">
        <f t="shared" ca="1" si="161"/>
        <v>336389.09935897973</v>
      </c>
      <c r="M288" s="11">
        <f t="shared" ca="1" si="162"/>
        <v>-2.319211489520967E-11</v>
      </c>
      <c r="N288" s="12">
        <f ca="1">IF(Y288=0, 0, ROUND(SUM(Y$17:Y288)-SUM(J$17:J288),0))</f>
        <v>0</v>
      </c>
      <c r="O288" s="12" t="str">
        <f t="shared" ca="1" si="163"/>
        <v/>
      </c>
      <c r="P288" s="12">
        <f t="shared" ca="1" si="164"/>
        <v>4660000</v>
      </c>
      <c r="Q288" s="178">
        <f t="shared" ca="1" si="193"/>
        <v>5000000</v>
      </c>
      <c r="R288" s="178">
        <f t="shared" ca="1" si="193"/>
        <v>0</v>
      </c>
      <c r="S288" s="178">
        <f t="shared" ca="1" si="193"/>
        <v>358488</v>
      </c>
      <c r="T288" s="178">
        <f t="shared" ca="1" si="193"/>
        <v>628000</v>
      </c>
      <c r="U288" s="179" t="str">
        <f t="shared" ca="1" si="165"/>
        <v/>
      </c>
      <c r="V288" s="180">
        <f t="shared" ca="1" si="157"/>
        <v>1.1100000000000001</v>
      </c>
      <c r="W288" s="181">
        <f t="shared" ca="1" si="184"/>
        <v>42</v>
      </c>
      <c r="X288" s="177">
        <f t="shared" ca="1" si="166"/>
        <v>9781.1284097756416</v>
      </c>
      <c r="Y288" s="12">
        <f t="shared" ca="1" si="167"/>
        <v>1576.5162302884626</v>
      </c>
      <c r="Z288" s="182">
        <f t="shared" ca="1" si="168"/>
        <v>336389.09935897461</v>
      </c>
      <c r="AA288" s="271">
        <f t="shared" ca="1" si="185"/>
        <v>0.22</v>
      </c>
      <c r="AB288" s="12">
        <f t="shared" ca="1" si="169"/>
        <v>9472.5148391121656</v>
      </c>
      <c r="AC288" s="12">
        <f t="shared" ca="1" si="170"/>
        <v>9472.5148391121802</v>
      </c>
      <c r="AD288" s="199"/>
      <c r="AE288" s="273">
        <f t="shared" ca="1" si="171"/>
        <v>1.6821425527395739E-3</v>
      </c>
      <c r="AF288" s="184">
        <f t="shared" ca="1" si="172"/>
        <v>0.63472660592842356</v>
      </c>
      <c r="AG288" s="12">
        <f t="shared" ca="1" si="173"/>
        <v>6012.4571934362921</v>
      </c>
      <c r="AH288" s="12">
        <f t="shared" ca="1" si="174"/>
        <v>6012.4571934363012</v>
      </c>
      <c r="AI288" s="185">
        <f t="shared" ca="1" si="175"/>
        <v>49</v>
      </c>
      <c r="AJ288" s="177">
        <f t="shared" ca="1" si="176"/>
        <v>49</v>
      </c>
      <c r="AK288" s="12">
        <f t="shared" ca="1" si="177"/>
        <v>-9830.1284097756325</v>
      </c>
      <c r="AL288" s="185">
        <f t="shared" ca="1" si="186"/>
        <v>9781.1284097756325</v>
      </c>
      <c r="AM288" s="177">
        <f t="shared" ca="1" si="187"/>
        <v>9818.6645104967865</v>
      </c>
      <c r="AN288" s="177">
        <f t="shared" ca="1" si="188"/>
        <v>9036.795048470367</v>
      </c>
      <c r="AO288" s="196">
        <f t="shared" ca="1" si="189"/>
        <v>42</v>
      </c>
      <c r="AP288" s="196">
        <f t="shared" ca="1" si="190"/>
        <v>39</v>
      </c>
      <c r="AQ288" s="177">
        <f t="shared" ca="1" si="191"/>
        <v>0</v>
      </c>
      <c r="AR288" s="177">
        <f t="shared" ca="1" si="192"/>
        <v>37.536100721154071</v>
      </c>
      <c r="AS288" s="189"/>
      <c r="AT288" s="190"/>
      <c r="AU288" s="190"/>
    </row>
    <row r="289" spans="1:47" x14ac:dyDescent="0.6">
      <c r="A289" s="152" t="str">
        <f t="shared" ca="1" si="158"/>
        <v>August 2047</v>
      </c>
      <c r="B289" s="191">
        <v>0</v>
      </c>
      <c r="C289" s="270">
        <f t="shared" ca="1" si="178"/>
        <v>5.4899999999999997E-2</v>
      </c>
      <c r="D289" s="192" t="str">
        <f t="shared" ca="1" si="179"/>
        <v/>
      </c>
      <c r="E289" s="193" t="str">
        <f t="shared" ca="1" si="180"/>
        <v/>
      </c>
      <c r="F289" s="194">
        <f t="shared" ca="1" si="181"/>
        <v>49</v>
      </c>
      <c r="G289" s="14">
        <v>272</v>
      </c>
      <c r="H289" s="157">
        <f t="shared" ca="1" si="182"/>
        <v>41</v>
      </c>
      <c r="I289" s="16">
        <f t="shared" ca="1" si="183"/>
        <v>9743.5923090544784</v>
      </c>
      <c r="J289" s="16">
        <f t="shared" ca="1" si="159"/>
        <v>1538.9801295673321</v>
      </c>
      <c r="K289" s="158">
        <f t="shared" ca="1" si="160"/>
        <v>8204.6121794871469</v>
      </c>
      <c r="L289" s="158">
        <f t="shared" ca="1" si="161"/>
        <v>328184.4871794926</v>
      </c>
      <c r="M289" s="15">
        <f t="shared" ca="1" si="162"/>
        <v>-2.3419488570652902E-11</v>
      </c>
      <c r="N289" s="16">
        <f ca="1">IF(Y289=0, 0, ROUND(SUM(Y$17:Y289)-SUM(J$17:J289),0))</f>
        <v>0</v>
      </c>
      <c r="O289" s="16" t="str">
        <f t="shared" ca="1" si="163"/>
        <v/>
      </c>
      <c r="P289" s="16">
        <f t="shared" ca="1" si="164"/>
        <v>4670000</v>
      </c>
      <c r="Q289" s="160">
        <f t="shared" ca="1" si="193"/>
        <v>5000000</v>
      </c>
      <c r="R289" s="160">
        <f t="shared" ca="1" si="193"/>
        <v>0</v>
      </c>
      <c r="S289" s="160">
        <f t="shared" ca="1" si="193"/>
        <v>358488</v>
      </c>
      <c r="T289" s="160">
        <f t="shared" ca="1" si="193"/>
        <v>628000</v>
      </c>
      <c r="U289" s="161" t="str">
        <f t="shared" ca="1" si="165"/>
        <v/>
      </c>
      <c r="V289" s="162">
        <f t="shared" ca="1" si="157"/>
        <v>1.1000000000000001</v>
      </c>
      <c r="W289" s="195">
        <f t="shared" ca="1" si="184"/>
        <v>41</v>
      </c>
      <c r="X289" s="158">
        <f t="shared" ca="1" si="166"/>
        <v>9743.5923090544893</v>
      </c>
      <c r="Y289" s="16">
        <f t="shared" ca="1" si="167"/>
        <v>1538.9801295673087</v>
      </c>
      <c r="Z289" s="164">
        <f t="shared" ca="1" si="168"/>
        <v>328184.48717948742</v>
      </c>
      <c r="AA289" s="272">
        <f t="shared" ca="1" si="185"/>
        <v>0.22</v>
      </c>
      <c r="AB289" s="16">
        <f t="shared" ca="1" si="169"/>
        <v>9443.2366805496658</v>
      </c>
      <c r="AC289" s="16">
        <f t="shared" ca="1" si="170"/>
        <v>9443.2366805496804</v>
      </c>
      <c r="AD289" s="197"/>
      <c r="AE289" s="274">
        <f t="shared" ca="1" si="171"/>
        <v>1.6821425527395739E-3</v>
      </c>
      <c r="AF289" s="166">
        <f t="shared" ca="1" si="172"/>
        <v>0.63365890529523539</v>
      </c>
      <c r="AG289" s="16">
        <f t="shared" ca="1" si="173"/>
        <v>5983.7910174409135</v>
      </c>
      <c r="AH289" s="16">
        <f t="shared" ca="1" si="174"/>
        <v>5983.7910174409226</v>
      </c>
      <c r="AI289" s="168">
        <f t="shared" ca="1" si="175"/>
        <v>49</v>
      </c>
      <c r="AJ289" s="158">
        <f t="shared" ca="1" si="176"/>
        <v>49</v>
      </c>
      <c r="AK289" s="16">
        <f t="shared" ca="1" si="177"/>
        <v>-9792.5923090544784</v>
      </c>
      <c r="AL289" s="168">
        <f t="shared" ca="1" si="186"/>
        <v>9743.5923090544784</v>
      </c>
      <c r="AM289" s="158">
        <f t="shared" ca="1" si="187"/>
        <v>9781.1284097756325</v>
      </c>
      <c r="AN289" s="158">
        <f t="shared" ca="1" si="188"/>
        <v>9016.8433397965036</v>
      </c>
      <c r="AO289" s="169">
        <f t="shared" ca="1" si="189"/>
        <v>41</v>
      </c>
      <c r="AP289" s="169">
        <f t="shared" ca="1" si="190"/>
        <v>38</v>
      </c>
      <c r="AQ289" s="158">
        <f t="shared" ca="1" si="191"/>
        <v>0</v>
      </c>
      <c r="AR289" s="158">
        <f t="shared" ca="1" si="192"/>
        <v>37.536100721154071</v>
      </c>
      <c r="AS289" s="170"/>
      <c r="AT289" s="159"/>
      <c r="AU289" s="159"/>
    </row>
    <row r="290" spans="1:47" x14ac:dyDescent="0.6">
      <c r="A290" s="171" t="str">
        <f t="shared" ca="1" si="158"/>
        <v>September 2047</v>
      </c>
      <c r="B290" s="191">
        <v>0</v>
      </c>
      <c r="C290" s="269">
        <f t="shared" ca="1" si="178"/>
        <v>5.4899999999999997E-2</v>
      </c>
      <c r="D290" s="173" t="str">
        <f t="shared" ca="1" si="179"/>
        <v/>
      </c>
      <c r="E290" s="174" t="str">
        <f t="shared" ca="1" si="180"/>
        <v/>
      </c>
      <c r="F290" s="175">
        <f t="shared" ca="1" si="181"/>
        <v>49</v>
      </c>
      <c r="G290" s="10">
        <v>273</v>
      </c>
      <c r="H290" s="176">
        <f t="shared" ca="1" si="182"/>
        <v>40</v>
      </c>
      <c r="I290" s="12">
        <f t="shared" ca="1" si="183"/>
        <v>9706.0562083333261</v>
      </c>
      <c r="J290" s="12">
        <f t="shared" ca="1" si="159"/>
        <v>1501.4440288461785</v>
      </c>
      <c r="K290" s="177">
        <f t="shared" ca="1" si="160"/>
        <v>8204.6121794871469</v>
      </c>
      <c r="L290" s="177">
        <f t="shared" ca="1" si="161"/>
        <v>319979.87500000547</v>
      </c>
      <c r="M290" s="11">
        <f t="shared" ca="1" si="162"/>
        <v>-2.3646862246096134E-11</v>
      </c>
      <c r="N290" s="12">
        <f ca="1">IF(Y290=0, 0, ROUND(SUM(Y$17:Y290)-SUM(J$17:J290),0))</f>
        <v>0</v>
      </c>
      <c r="O290" s="12" t="str">
        <f t="shared" ca="1" si="163"/>
        <v/>
      </c>
      <c r="P290" s="12">
        <f t="shared" ca="1" si="164"/>
        <v>4680000</v>
      </c>
      <c r="Q290" s="178">
        <f t="shared" ca="1" si="193"/>
        <v>5000000</v>
      </c>
      <c r="R290" s="178">
        <f t="shared" ca="1" si="193"/>
        <v>0</v>
      </c>
      <c r="S290" s="178">
        <f t="shared" ca="1" si="193"/>
        <v>358488</v>
      </c>
      <c r="T290" s="178">
        <f t="shared" ca="1" si="193"/>
        <v>628000</v>
      </c>
      <c r="U290" s="179" t="str">
        <f t="shared" ca="1" si="165"/>
        <v/>
      </c>
      <c r="V290" s="180">
        <f t="shared" ca="1" si="157"/>
        <v>1.0900000000000001</v>
      </c>
      <c r="W290" s="181">
        <f t="shared" ca="1" si="184"/>
        <v>40</v>
      </c>
      <c r="X290" s="177">
        <f t="shared" ca="1" si="166"/>
        <v>9706.0562083333352</v>
      </c>
      <c r="Y290" s="12">
        <f t="shared" ca="1" si="167"/>
        <v>1501.4440288461549</v>
      </c>
      <c r="Z290" s="182">
        <f t="shared" ca="1" si="168"/>
        <v>319979.87500000023</v>
      </c>
      <c r="AA290" s="271">
        <f t="shared" ca="1" si="185"/>
        <v>0.22</v>
      </c>
      <c r="AB290" s="12">
        <f t="shared" ca="1" si="169"/>
        <v>9413.958521987166</v>
      </c>
      <c r="AC290" s="12">
        <f t="shared" ca="1" si="170"/>
        <v>9413.9585219871806</v>
      </c>
      <c r="AD290" s="199"/>
      <c r="AE290" s="273">
        <f t="shared" ca="1" si="171"/>
        <v>1.6821425527395739E-3</v>
      </c>
      <c r="AF290" s="184">
        <f t="shared" ca="1" si="172"/>
        <v>0.63259300068671587</v>
      </c>
      <c r="AG290" s="12">
        <f t="shared" ca="1" si="173"/>
        <v>5955.2042697641418</v>
      </c>
      <c r="AH290" s="12">
        <f t="shared" ca="1" si="174"/>
        <v>5955.2042697641509</v>
      </c>
      <c r="AI290" s="185">
        <f t="shared" ca="1" si="175"/>
        <v>49</v>
      </c>
      <c r="AJ290" s="177">
        <f t="shared" ca="1" si="176"/>
        <v>49</v>
      </c>
      <c r="AK290" s="12">
        <f t="shared" ca="1" si="177"/>
        <v>-9755.0562083333261</v>
      </c>
      <c r="AL290" s="185">
        <f t="shared" ca="1" si="186"/>
        <v>9706.0562083333261</v>
      </c>
      <c r="AM290" s="177">
        <f t="shared" ca="1" si="187"/>
        <v>9743.5923090544784</v>
      </c>
      <c r="AN290" s="177">
        <f t="shared" ca="1" si="188"/>
        <v>8996.9200873108566</v>
      </c>
      <c r="AO290" s="196">
        <f t="shared" ca="1" si="189"/>
        <v>40</v>
      </c>
      <c r="AP290" s="196">
        <f t="shared" ca="1" si="190"/>
        <v>37</v>
      </c>
      <c r="AQ290" s="177">
        <f t="shared" ca="1" si="191"/>
        <v>0</v>
      </c>
      <c r="AR290" s="177">
        <f t="shared" ca="1" si="192"/>
        <v>37.536100721152252</v>
      </c>
      <c r="AS290" s="189"/>
      <c r="AT290" s="190"/>
      <c r="AU290" s="190"/>
    </row>
    <row r="291" spans="1:47" x14ac:dyDescent="0.6">
      <c r="A291" s="152" t="str">
        <f t="shared" ca="1" si="158"/>
        <v>Oktober 2047</v>
      </c>
      <c r="B291" s="191">
        <v>0</v>
      </c>
      <c r="C291" s="270">
        <f t="shared" ca="1" si="178"/>
        <v>5.4899999999999997E-2</v>
      </c>
      <c r="D291" s="192" t="str">
        <f t="shared" ca="1" si="179"/>
        <v/>
      </c>
      <c r="E291" s="193" t="str">
        <f t="shared" ca="1" si="180"/>
        <v/>
      </c>
      <c r="F291" s="194">
        <f t="shared" ca="1" si="181"/>
        <v>49</v>
      </c>
      <c r="G291" s="14">
        <v>274</v>
      </c>
      <c r="H291" s="157">
        <f t="shared" ca="1" si="182"/>
        <v>39</v>
      </c>
      <c r="I291" s="16">
        <f t="shared" ca="1" si="183"/>
        <v>9668.5201076121721</v>
      </c>
      <c r="J291" s="16">
        <f t="shared" ca="1" si="159"/>
        <v>1463.9079281250249</v>
      </c>
      <c r="K291" s="158">
        <f t="shared" ca="1" si="160"/>
        <v>8204.6121794871469</v>
      </c>
      <c r="L291" s="158">
        <f t="shared" ca="1" si="161"/>
        <v>311775.26282051834</v>
      </c>
      <c r="M291" s="15">
        <f t="shared" ca="1" si="162"/>
        <v>-2.4101609596982598E-11</v>
      </c>
      <c r="N291" s="16">
        <f ca="1">IF(Y291=0, 0, ROUND(SUM(Y$17:Y291)-SUM(J$17:J291),0))</f>
        <v>0</v>
      </c>
      <c r="O291" s="16" t="str">
        <f t="shared" ca="1" si="163"/>
        <v/>
      </c>
      <c r="P291" s="16" t="str">
        <f t="shared" ca="1" si="164"/>
        <v/>
      </c>
      <c r="Q291" s="160">
        <f t="shared" ca="1" si="193"/>
        <v>5000000</v>
      </c>
      <c r="R291" s="160">
        <f t="shared" ca="1" si="193"/>
        <v>0</v>
      </c>
      <c r="S291" s="160">
        <f t="shared" ca="1" si="193"/>
        <v>358488</v>
      </c>
      <c r="T291" s="160">
        <f t="shared" ca="1" si="193"/>
        <v>628000</v>
      </c>
      <c r="U291" s="161" t="str">
        <f t="shared" ca="1" si="165"/>
        <v/>
      </c>
      <c r="V291" s="162">
        <f t="shared" ca="1" si="157"/>
        <v>1.07</v>
      </c>
      <c r="W291" s="195">
        <f t="shared" ca="1" si="184"/>
        <v>39</v>
      </c>
      <c r="X291" s="158">
        <f t="shared" ca="1" si="166"/>
        <v>9668.5201076121812</v>
      </c>
      <c r="Y291" s="16">
        <f t="shared" ca="1" si="167"/>
        <v>1463.9079281250008</v>
      </c>
      <c r="Z291" s="164">
        <f t="shared" ca="1" si="168"/>
        <v>311775.26282051305</v>
      </c>
      <c r="AA291" s="272">
        <f t="shared" ca="1" si="185"/>
        <v>0.22</v>
      </c>
      <c r="AB291" s="16">
        <f t="shared" ca="1" si="169"/>
        <v>9384.6803634246662</v>
      </c>
      <c r="AC291" s="16">
        <f t="shared" ca="1" si="170"/>
        <v>9384.6803634246808</v>
      </c>
      <c r="AD291" s="197"/>
      <c r="AE291" s="274">
        <f t="shared" ca="1" si="171"/>
        <v>1.6821425527395739E-3</v>
      </c>
      <c r="AF291" s="166">
        <f t="shared" ca="1" si="172"/>
        <v>0.63152888908169558</v>
      </c>
      <c r="AG291" s="16">
        <f t="shared" ca="1" si="173"/>
        <v>5926.6967643003827</v>
      </c>
      <c r="AH291" s="16">
        <f t="shared" ca="1" si="174"/>
        <v>5926.6967643003918</v>
      </c>
      <c r="AI291" s="168">
        <f t="shared" ca="1" si="175"/>
        <v>49</v>
      </c>
      <c r="AJ291" s="158">
        <f t="shared" ca="1" si="176"/>
        <v>49</v>
      </c>
      <c r="AK291" s="16">
        <f t="shared" ca="1" si="177"/>
        <v>-9717.5201076121721</v>
      </c>
      <c r="AL291" s="168">
        <f t="shared" ca="1" si="186"/>
        <v>9668.5201076121721</v>
      </c>
      <c r="AM291" s="158">
        <f t="shared" ca="1" si="187"/>
        <v>9706.0562083333261</v>
      </c>
      <c r="AN291" s="158">
        <f t="shared" ca="1" si="188"/>
        <v>8977.0252958131314</v>
      </c>
      <c r="AO291" s="169">
        <f t="shared" ca="1" si="189"/>
        <v>39</v>
      </c>
      <c r="AP291" s="169">
        <f t="shared" ca="1" si="190"/>
        <v>36</v>
      </c>
      <c r="AQ291" s="158">
        <f t="shared" ca="1" si="191"/>
        <v>0</v>
      </c>
      <c r="AR291" s="158">
        <f t="shared" ca="1" si="192"/>
        <v>37.536100721154071</v>
      </c>
      <c r="AS291" s="170"/>
      <c r="AT291" s="159"/>
      <c r="AU291" s="159"/>
    </row>
    <row r="292" spans="1:47" x14ac:dyDescent="0.6">
      <c r="A292" s="171" t="str">
        <f t="shared" ca="1" si="158"/>
        <v>November 2047</v>
      </c>
      <c r="B292" s="191">
        <v>0</v>
      </c>
      <c r="C292" s="269">
        <f t="shared" ca="1" si="178"/>
        <v>5.4899999999999997E-2</v>
      </c>
      <c r="D292" s="173" t="str">
        <f t="shared" ca="1" si="179"/>
        <v/>
      </c>
      <c r="E292" s="174" t="str">
        <f t="shared" ca="1" si="180"/>
        <v/>
      </c>
      <c r="F292" s="175">
        <f t="shared" ca="1" si="181"/>
        <v>49</v>
      </c>
      <c r="G292" s="10">
        <v>275</v>
      </c>
      <c r="H292" s="176">
        <f t="shared" ca="1" si="182"/>
        <v>38</v>
      </c>
      <c r="I292" s="12">
        <f t="shared" ca="1" si="183"/>
        <v>9630.984006891018</v>
      </c>
      <c r="J292" s="12">
        <f t="shared" ca="1" si="159"/>
        <v>1426.3718274038713</v>
      </c>
      <c r="K292" s="177">
        <f t="shared" ca="1" si="160"/>
        <v>8204.6121794871469</v>
      </c>
      <c r="L292" s="177">
        <f t="shared" ca="1" si="161"/>
        <v>303570.65064103121</v>
      </c>
      <c r="M292" s="11">
        <f t="shared" ca="1" si="162"/>
        <v>-2.4101609596982598E-11</v>
      </c>
      <c r="N292" s="12">
        <f ca="1">IF(Y292=0, 0, ROUND(SUM(Y$17:Y292)-SUM(J$17:J292),0))</f>
        <v>0</v>
      </c>
      <c r="O292" s="12" t="str">
        <f t="shared" ca="1" si="163"/>
        <v/>
      </c>
      <c r="P292" s="12">
        <f t="shared" ca="1" si="164"/>
        <v>4690000</v>
      </c>
      <c r="Q292" s="178">
        <f t="shared" ca="1" si="193"/>
        <v>5000000</v>
      </c>
      <c r="R292" s="178">
        <f t="shared" ca="1" si="193"/>
        <v>0</v>
      </c>
      <c r="S292" s="178">
        <f t="shared" ca="1" si="193"/>
        <v>358488</v>
      </c>
      <c r="T292" s="178">
        <f t="shared" ca="1" si="193"/>
        <v>628000</v>
      </c>
      <c r="U292" s="179" t="str">
        <f t="shared" ca="1" si="165"/>
        <v/>
      </c>
      <c r="V292" s="180">
        <f t="shared" ca="1" si="157"/>
        <v>1.06</v>
      </c>
      <c r="W292" s="181">
        <f t="shared" ca="1" si="184"/>
        <v>38</v>
      </c>
      <c r="X292" s="177">
        <f t="shared" ca="1" si="166"/>
        <v>9630.9840068910271</v>
      </c>
      <c r="Y292" s="12">
        <f t="shared" ca="1" si="167"/>
        <v>1426.3718274038472</v>
      </c>
      <c r="Z292" s="182">
        <f t="shared" ca="1" si="168"/>
        <v>303570.65064102586</v>
      </c>
      <c r="AA292" s="271">
        <f t="shared" ca="1" si="185"/>
        <v>0.22</v>
      </c>
      <c r="AB292" s="12">
        <f t="shared" ca="1" si="169"/>
        <v>9355.4022048621664</v>
      </c>
      <c r="AC292" s="12">
        <f t="shared" ca="1" si="170"/>
        <v>9355.402204862181</v>
      </c>
      <c r="AD292" s="199"/>
      <c r="AE292" s="273">
        <f t="shared" ca="1" si="171"/>
        <v>1.6821425527395739E-3</v>
      </c>
      <c r="AF292" s="184">
        <f t="shared" ca="1" si="172"/>
        <v>0.63046656746408691</v>
      </c>
      <c r="AG292" s="12">
        <f t="shared" ca="1" si="173"/>
        <v>5898.2683153454009</v>
      </c>
      <c r="AH292" s="12">
        <f t="shared" ca="1" si="174"/>
        <v>5898.26831534541</v>
      </c>
      <c r="AI292" s="185">
        <f t="shared" ca="1" si="175"/>
        <v>49</v>
      </c>
      <c r="AJ292" s="177">
        <f t="shared" ca="1" si="176"/>
        <v>49</v>
      </c>
      <c r="AK292" s="12">
        <f t="shared" ca="1" si="177"/>
        <v>-9679.984006891018</v>
      </c>
      <c r="AL292" s="185">
        <f t="shared" ca="1" si="186"/>
        <v>9630.984006891018</v>
      </c>
      <c r="AM292" s="177">
        <f t="shared" ca="1" si="187"/>
        <v>9668.5201076121721</v>
      </c>
      <c r="AN292" s="177">
        <f t="shared" ca="1" si="188"/>
        <v>8957.1589699854485</v>
      </c>
      <c r="AO292" s="196">
        <f t="shared" ca="1" si="189"/>
        <v>38</v>
      </c>
      <c r="AP292" s="196">
        <f t="shared" ca="1" si="190"/>
        <v>35</v>
      </c>
      <c r="AQ292" s="177">
        <f t="shared" ca="1" si="191"/>
        <v>0</v>
      </c>
      <c r="AR292" s="177">
        <f t="shared" ca="1" si="192"/>
        <v>37.536100721154071</v>
      </c>
      <c r="AS292" s="189"/>
      <c r="AT292" s="190"/>
      <c r="AU292" s="190"/>
    </row>
    <row r="293" spans="1:47" x14ac:dyDescent="0.6">
      <c r="A293" s="152" t="str">
        <f t="shared" ca="1" si="158"/>
        <v>Desember 2047</v>
      </c>
      <c r="B293" s="191">
        <v>0</v>
      </c>
      <c r="C293" s="270">
        <f t="shared" ca="1" si="178"/>
        <v>5.4899999999999997E-2</v>
      </c>
      <c r="D293" s="192" t="str">
        <f t="shared" ca="1" si="179"/>
        <v/>
      </c>
      <c r="E293" s="193" t="str">
        <f t="shared" ca="1" si="180"/>
        <v/>
      </c>
      <c r="F293" s="194">
        <f t="shared" ca="1" si="181"/>
        <v>49</v>
      </c>
      <c r="G293" s="14">
        <v>276</v>
      </c>
      <c r="H293" s="157">
        <f t="shared" ca="1" si="182"/>
        <v>37</v>
      </c>
      <c r="I293" s="16">
        <f t="shared" ca="1" si="183"/>
        <v>9593.4479061698639</v>
      </c>
      <c r="J293" s="16">
        <f t="shared" ca="1" si="159"/>
        <v>1388.8357266827177</v>
      </c>
      <c r="K293" s="158">
        <f t="shared" ca="1" si="160"/>
        <v>8204.6121794871469</v>
      </c>
      <c r="L293" s="158">
        <f t="shared" ca="1" si="161"/>
        <v>295366.03846154409</v>
      </c>
      <c r="M293" s="15">
        <f t="shared" ca="1" si="162"/>
        <v>-2.432898327242583E-11</v>
      </c>
      <c r="N293" s="16">
        <f ca="1">IF(Y293=0, 0, ROUND(SUM(Y$17:Y293)-SUM(J$17:J293),0))</f>
        <v>0</v>
      </c>
      <c r="O293" s="16" t="str">
        <f t="shared" ca="1" si="163"/>
        <v/>
      </c>
      <c r="P293" s="16">
        <f t="shared" ca="1" si="164"/>
        <v>4700000</v>
      </c>
      <c r="Q293" s="160">
        <f t="shared" ca="1" si="193"/>
        <v>5000000</v>
      </c>
      <c r="R293" s="160">
        <f t="shared" ca="1" si="193"/>
        <v>0</v>
      </c>
      <c r="S293" s="160">
        <f t="shared" ca="1" si="193"/>
        <v>358488</v>
      </c>
      <c r="T293" s="160">
        <f t="shared" ca="1" si="193"/>
        <v>628000</v>
      </c>
      <c r="U293" s="161" t="str">
        <f t="shared" ca="1" si="165"/>
        <v/>
      </c>
      <c r="V293" s="162">
        <f t="shared" ca="1" si="157"/>
        <v>1.05</v>
      </c>
      <c r="W293" s="195">
        <f t="shared" ca="1" si="184"/>
        <v>37</v>
      </c>
      <c r="X293" s="158">
        <f t="shared" ca="1" si="166"/>
        <v>9593.447906169873</v>
      </c>
      <c r="Y293" s="16">
        <f t="shared" ca="1" si="167"/>
        <v>1388.8357266826933</v>
      </c>
      <c r="Z293" s="164">
        <f t="shared" ca="1" si="168"/>
        <v>295366.03846153867</v>
      </c>
      <c r="AA293" s="272">
        <f t="shared" ca="1" si="185"/>
        <v>0.22</v>
      </c>
      <c r="AB293" s="16">
        <f t="shared" ca="1" si="169"/>
        <v>9326.1240462996666</v>
      </c>
      <c r="AC293" s="16">
        <f t="shared" ca="1" si="170"/>
        <v>9326.1240462996811</v>
      </c>
      <c r="AD293" s="197"/>
      <c r="AE293" s="274">
        <f t="shared" ca="1" si="171"/>
        <v>1.6821425527395739E-3</v>
      </c>
      <c r="AF293" s="166">
        <f t="shared" ca="1" si="172"/>
        <v>0.62940603282287588</v>
      </c>
      <c r="AG293" s="16">
        <f t="shared" ca="1" si="173"/>
        <v>5869.9187375954998</v>
      </c>
      <c r="AH293" s="16">
        <f t="shared" ca="1" si="174"/>
        <v>5869.9187375955089</v>
      </c>
      <c r="AI293" s="168">
        <f t="shared" ca="1" si="175"/>
        <v>49</v>
      </c>
      <c r="AJ293" s="158">
        <f t="shared" ca="1" si="176"/>
        <v>49</v>
      </c>
      <c r="AK293" s="16">
        <f t="shared" ca="1" si="177"/>
        <v>-9642.4479061698639</v>
      </c>
      <c r="AL293" s="168">
        <f t="shared" ca="1" si="186"/>
        <v>9593.4479061698639</v>
      </c>
      <c r="AM293" s="158">
        <f t="shared" ca="1" si="187"/>
        <v>9630.984006891018</v>
      </c>
      <c r="AN293" s="158">
        <f t="shared" ca="1" si="188"/>
        <v>8937.3211143922763</v>
      </c>
      <c r="AO293" s="169">
        <f t="shared" ca="1" si="189"/>
        <v>37</v>
      </c>
      <c r="AP293" s="169">
        <f t="shared" ca="1" si="190"/>
        <v>35</v>
      </c>
      <c r="AQ293" s="158">
        <f t="shared" ca="1" si="191"/>
        <v>0</v>
      </c>
      <c r="AR293" s="158">
        <f t="shared" ca="1" si="192"/>
        <v>37.536100721154071</v>
      </c>
      <c r="AS293" s="170"/>
      <c r="AT293" s="159"/>
      <c r="AU293" s="159"/>
    </row>
    <row r="294" spans="1:47" x14ac:dyDescent="0.6">
      <c r="A294" s="171" t="str">
        <f t="shared" ca="1" si="158"/>
        <v>Januar 2048</v>
      </c>
      <c r="B294" s="191">
        <v>0</v>
      </c>
      <c r="C294" s="269">
        <f t="shared" ca="1" si="178"/>
        <v>5.4899999999999997E-2</v>
      </c>
      <c r="D294" s="173" t="str">
        <f t="shared" ca="1" si="179"/>
        <v/>
      </c>
      <c r="E294" s="174" t="str">
        <f t="shared" ca="1" si="180"/>
        <v/>
      </c>
      <c r="F294" s="175">
        <f t="shared" ca="1" si="181"/>
        <v>49</v>
      </c>
      <c r="G294" s="10">
        <v>277</v>
      </c>
      <c r="H294" s="176">
        <f t="shared" ca="1" si="182"/>
        <v>36</v>
      </c>
      <c r="I294" s="12">
        <f t="shared" ca="1" si="183"/>
        <v>9555.9118054487117</v>
      </c>
      <c r="J294" s="12">
        <f t="shared" ca="1" si="159"/>
        <v>1351.2996259615641</v>
      </c>
      <c r="K294" s="177">
        <f t="shared" ca="1" si="160"/>
        <v>8204.6121794871469</v>
      </c>
      <c r="L294" s="177">
        <f t="shared" ca="1" si="161"/>
        <v>287161.42628205696</v>
      </c>
      <c r="M294" s="11">
        <f t="shared" ca="1" si="162"/>
        <v>-2.4556356947869062E-11</v>
      </c>
      <c r="N294" s="12">
        <f ca="1">IF(Y294=0, 0, ROUND(SUM(Y$17:Y294)-SUM(J$17:J294),0))</f>
        <v>0</v>
      </c>
      <c r="O294" s="12" t="str">
        <f t="shared" ca="1" si="163"/>
        <v/>
      </c>
      <c r="P294" s="12">
        <f t="shared" ca="1" si="164"/>
        <v>4710000</v>
      </c>
      <c r="Q294" s="178">
        <f t="shared" ca="1" si="193"/>
        <v>5000000</v>
      </c>
      <c r="R294" s="178">
        <f t="shared" ca="1" si="193"/>
        <v>0</v>
      </c>
      <c r="S294" s="178">
        <f t="shared" ca="1" si="193"/>
        <v>358488</v>
      </c>
      <c r="T294" s="178">
        <f t="shared" ca="1" si="193"/>
        <v>628000</v>
      </c>
      <c r="U294" s="179" t="str">
        <f t="shared" ca="1" si="165"/>
        <v/>
      </c>
      <c r="V294" s="180">
        <f t="shared" ca="1" si="157"/>
        <v>1.03</v>
      </c>
      <c r="W294" s="181">
        <f t="shared" ca="1" si="184"/>
        <v>36</v>
      </c>
      <c r="X294" s="177">
        <f t="shared" ca="1" si="166"/>
        <v>9555.911805448719</v>
      </c>
      <c r="Y294" s="12">
        <f t="shared" ca="1" si="167"/>
        <v>1351.2996259615395</v>
      </c>
      <c r="Z294" s="182">
        <f t="shared" ca="1" si="168"/>
        <v>287161.42628205149</v>
      </c>
      <c r="AA294" s="271">
        <f t="shared" ca="1" si="185"/>
        <v>0.22</v>
      </c>
      <c r="AB294" s="12">
        <f t="shared" ca="1" si="169"/>
        <v>9296.8458877371668</v>
      </c>
      <c r="AC294" s="12">
        <f t="shared" ca="1" si="170"/>
        <v>9296.8458877371813</v>
      </c>
      <c r="AD294" s="199"/>
      <c r="AE294" s="273">
        <f t="shared" ca="1" si="171"/>
        <v>1.6821425527395739E-3</v>
      </c>
      <c r="AF294" s="184">
        <f t="shared" ca="1" si="172"/>
        <v>0.62834728215211355</v>
      </c>
      <c r="AG294" s="12">
        <f t="shared" ca="1" si="173"/>
        <v>5841.6478461467022</v>
      </c>
      <c r="AH294" s="12">
        <f t="shared" ca="1" si="174"/>
        <v>5841.6478461467113</v>
      </c>
      <c r="AI294" s="185">
        <f t="shared" ca="1" si="175"/>
        <v>49</v>
      </c>
      <c r="AJ294" s="177">
        <f t="shared" ca="1" si="176"/>
        <v>49</v>
      </c>
      <c r="AK294" s="12">
        <f t="shared" ca="1" si="177"/>
        <v>-9604.9118054487117</v>
      </c>
      <c r="AL294" s="185">
        <f t="shared" ca="1" si="186"/>
        <v>9555.9118054487117</v>
      </c>
      <c r="AM294" s="177">
        <f t="shared" ca="1" si="187"/>
        <v>9593.4479061698639</v>
      </c>
      <c r="AN294" s="177">
        <f t="shared" ca="1" si="188"/>
        <v>8917.5117334803654</v>
      </c>
      <c r="AO294" s="196">
        <f t="shared" ca="1" si="189"/>
        <v>36</v>
      </c>
      <c r="AP294" s="196">
        <f t="shared" ca="1" si="190"/>
        <v>34</v>
      </c>
      <c r="AQ294" s="177">
        <f t="shared" ca="1" si="191"/>
        <v>0</v>
      </c>
      <c r="AR294" s="177">
        <f t="shared" ca="1" si="192"/>
        <v>37.536100721152252</v>
      </c>
      <c r="AS294" s="189"/>
      <c r="AT294" s="190"/>
      <c r="AU294" s="190"/>
    </row>
    <row r="295" spans="1:47" x14ac:dyDescent="0.6">
      <c r="A295" s="152" t="str">
        <f t="shared" ca="1" si="158"/>
        <v>Februar 2048</v>
      </c>
      <c r="B295" s="191">
        <v>0</v>
      </c>
      <c r="C295" s="270">
        <f t="shared" ca="1" si="178"/>
        <v>5.4899999999999997E-2</v>
      </c>
      <c r="D295" s="192" t="str">
        <f t="shared" ca="1" si="179"/>
        <v/>
      </c>
      <c r="E295" s="193" t="str">
        <f t="shared" ca="1" si="180"/>
        <v/>
      </c>
      <c r="F295" s="194">
        <f t="shared" ca="1" si="181"/>
        <v>49</v>
      </c>
      <c r="G295" s="14">
        <v>278</v>
      </c>
      <c r="H295" s="157">
        <f t="shared" ca="1" si="182"/>
        <v>35</v>
      </c>
      <c r="I295" s="16">
        <f t="shared" ca="1" si="183"/>
        <v>9518.3757047275576</v>
      </c>
      <c r="J295" s="16">
        <f t="shared" ca="1" si="159"/>
        <v>1313.7635252404104</v>
      </c>
      <c r="K295" s="158">
        <f t="shared" ca="1" si="160"/>
        <v>8204.6121794871469</v>
      </c>
      <c r="L295" s="158">
        <f t="shared" ca="1" si="161"/>
        <v>278956.81410256983</v>
      </c>
      <c r="M295" s="15">
        <f t="shared" ca="1" si="162"/>
        <v>-2.5011104298755527E-11</v>
      </c>
      <c r="N295" s="16">
        <f ca="1">IF(Y295=0, 0, ROUND(SUM(Y$17:Y295)-SUM(J$17:J295),0))</f>
        <v>0</v>
      </c>
      <c r="O295" s="16" t="str">
        <f t="shared" ca="1" si="163"/>
        <v/>
      </c>
      <c r="P295" s="16">
        <f t="shared" ca="1" si="164"/>
        <v>4720000</v>
      </c>
      <c r="Q295" s="160">
        <f t="shared" ca="1" si="193"/>
        <v>5000000</v>
      </c>
      <c r="R295" s="160">
        <f t="shared" ca="1" si="193"/>
        <v>0</v>
      </c>
      <c r="S295" s="160">
        <f t="shared" ca="1" si="193"/>
        <v>358488</v>
      </c>
      <c r="T295" s="160">
        <f t="shared" ca="1" si="193"/>
        <v>628000</v>
      </c>
      <c r="U295" s="161" t="str">
        <f t="shared" ca="1" si="165"/>
        <v/>
      </c>
      <c r="V295" s="162">
        <f t="shared" ca="1" si="157"/>
        <v>1.02</v>
      </c>
      <c r="W295" s="195">
        <f t="shared" ca="1" si="184"/>
        <v>35</v>
      </c>
      <c r="X295" s="158">
        <f t="shared" ca="1" si="166"/>
        <v>9518.3757047275649</v>
      </c>
      <c r="Y295" s="16">
        <f t="shared" ca="1" si="167"/>
        <v>1313.7635252403854</v>
      </c>
      <c r="Z295" s="164">
        <f t="shared" ca="1" si="168"/>
        <v>278956.81410256436</v>
      </c>
      <c r="AA295" s="272">
        <f t="shared" ca="1" si="185"/>
        <v>0.22</v>
      </c>
      <c r="AB295" s="16">
        <f t="shared" ca="1" si="169"/>
        <v>9267.567729174667</v>
      </c>
      <c r="AC295" s="16">
        <f t="shared" ca="1" si="170"/>
        <v>9267.5677291746797</v>
      </c>
      <c r="AD295" s="197"/>
      <c r="AE295" s="274">
        <f t="shared" ca="1" si="171"/>
        <v>1.6821425527395739E-3</v>
      </c>
      <c r="AF295" s="166">
        <f t="shared" ca="1" si="172"/>
        <v>0.62729031245090727</v>
      </c>
      <c r="AG295" s="16">
        <f t="shared" ca="1" si="173"/>
        <v>5813.4554564939217</v>
      </c>
      <c r="AH295" s="16">
        <f t="shared" ca="1" si="174"/>
        <v>5813.4554564939299</v>
      </c>
      <c r="AI295" s="168">
        <f t="shared" ca="1" si="175"/>
        <v>49</v>
      </c>
      <c r="AJ295" s="158">
        <f t="shared" ca="1" si="176"/>
        <v>49</v>
      </c>
      <c r="AK295" s="16">
        <f t="shared" ca="1" si="177"/>
        <v>-9567.3757047275576</v>
      </c>
      <c r="AL295" s="168">
        <f t="shared" ca="1" si="186"/>
        <v>9518.3757047275576</v>
      </c>
      <c r="AM295" s="158">
        <f t="shared" ca="1" si="187"/>
        <v>9555.9118054487117</v>
      </c>
      <c r="AN295" s="158">
        <f t="shared" ca="1" si="188"/>
        <v>8897.7308315786759</v>
      </c>
      <c r="AO295" s="169">
        <f t="shared" ca="1" si="189"/>
        <v>35</v>
      </c>
      <c r="AP295" s="169">
        <f t="shared" ca="1" si="190"/>
        <v>33</v>
      </c>
      <c r="AQ295" s="158">
        <f t="shared" ca="1" si="191"/>
        <v>0</v>
      </c>
      <c r="AR295" s="158">
        <f t="shared" ca="1" si="192"/>
        <v>37.536100721154071</v>
      </c>
      <c r="AS295" s="170"/>
      <c r="AT295" s="159"/>
      <c r="AU295" s="159"/>
    </row>
    <row r="296" spans="1:47" x14ac:dyDescent="0.6">
      <c r="A296" s="171" t="str">
        <f t="shared" ca="1" si="158"/>
        <v>Mars 2048</v>
      </c>
      <c r="B296" s="191">
        <v>0</v>
      </c>
      <c r="C296" s="269">
        <f t="shared" ca="1" si="178"/>
        <v>5.4899999999999997E-2</v>
      </c>
      <c r="D296" s="173" t="str">
        <f t="shared" ca="1" si="179"/>
        <v/>
      </c>
      <c r="E296" s="174" t="str">
        <f t="shared" ca="1" si="180"/>
        <v/>
      </c>
      <c r="F296" s="175">
        <f t="shared" ca="1" si="181"/>
        <v>49</v>
      </c>
      <c r="G296" s="10">
        <v>279</v>
      </c>
      <c r="H296" s="176">
        <f t="shared" ca="1" si="182"/>
        <v>34</v>
      </c>
      <c r="I296" s="12">
        <f t="shared" ca="1" si="183"/>
        <v>9480.8396040064035</v>
      </c>
      <c r="J296" s="12">
        <f t="shared" ca="1" si="159"/>
        <v>1276.2274245192568</v>
      </c>
      <c r="K296" s="177">
        <f t="shared" ca="1" si="160"/>
        <v>8204.6121794871469</v>
      </c>
      <c r="L296" s="177">
        <f t="shared" ca="1" si="161"/>
        <v>270752.2019230827</v>
      </c>
      <c r="M296" s="11">
        <f t="shared" ca="1" si="162"/>
        <v>-2.5011104298755527E-11</v>
      </c>
      <c r="N296" s="12">
        <f ca="1">IF(Y296=0, 0, ROUND(SUM(Y$17:Y296)-SUM(J$17:J296),0))</f>
        <v>0</v>
      </c>
      <c r="O296" s="12" t="str">
        <f t="shared" ca="1" si="163"/>
        <v/>
      </c>
      <c r="P296" s="12" t="str">
        <f t="shared" ca="1" si="164"/>
        <v/>
      </c>
      <c r="Q296" s="178">
        <f t="shared" ca="1" si="193"/>
        <v>5000000</v>
      </c>
      <c r="R296" s="178">
        <f t="shared" ca="1" si="193"/>
        <v>0</v>
      </c>
      <c r="S296" s="178">
        <f t="shared" ca="1" si="193"/>
        <v>358488</v>
      </c>
      <c r="T296" s="178">
        <f t="shared" ca="1" si="193"/>
        <v>628000</v>
      </c>
      <c r="U296" s="179" t="str">
        <f t="shared" ca="1" si="165"/>
        <v/>
      </c>
      <c r="V296" s="180">
        <f t="shared" ca="1" si="157"/>
        <v>1.01</v>
      </c>
      <c r="W296" s="181">
        <f t="shared" ca="1" si="184"/>
        <v>34</v>
      </c>
      <c r="X296" s="177">
        <f t="shared" ca="1" si="166"/>
        <v>9480.8396040064108</v>
      </c>
      <c r="Y296" s="12">
        <f t="shared" ca="1" si="167"/>
        <v>1276.2274245192318</v>
      </c>
      <c r="Z296" s="182">
        <f t="shared" ca="1" si="168"/>
        <v>270752.20192307723</v>
      </c>
      <c r="AA296" s="271">
        <f t="shared" ca="1" si="185"/>
        <v>0.22</v>
      </c>
      <c r="AB296" s="12">
        <f t="shared" ca="1" si="169"/>
        <v>9238.2895706121672</v>
      </c>
      <c r="AC296" s="12">
        <f t="shared" ca="1" si="170"/>
        <v>9238.2895706121799</v>
      </c>
      <c r="AD296" s="199"/>
      <c r="AE296" s="273">
        <f t="shared" ca="1" si="171"/>
        <v>1.6821425527395739E-3</v>
      </c>
      <c r="AF296" s="184">
        <f t="shared" ca="1" si="172"/>
        <v>0.62623512072341225</v>
      </c>
      <c r="AG296" s="12">
        <f t="shared" ca="1" si="173"/>
        <v>5785.3413845301511</v>
      </c>
      <c r="AH296" s="12">
        <f t="shared" ca="1" si="174"/>
        <v>5785.3413845301584</v>
      </c>
      <c r="AI296" s="185">
        <f t="shared" ca="1" si="175"/>
        <v>49</v>
      </c>
      <c r="AJ296" s="177">
        <f t="shared" ca="1" si="176"/>
        <v>49</v>
      </c>
      <c r="AK296" s="12">
        <f t="shared" ca="1" si="177"/>
        <v>-9529.8396040064035</v>
      </c>
      <c r="AL296" s="185">
        <f t="shared" ca="1" si="186"/>
        <v>9480.8396040064035</v>
      </c>
      <c r="AM296" s="177">
        <f t="shared" ca="1" si="187"/>
        <v>9518.3757047275576</v>
      </c>
      <c r="AN296" s="177">
        <f t="shared" ca="1" si="188"/>
        <v>8877.978412898321</v>
      </c>
      <c r="AO296" s="196">
        <f t="shared" ca="1" si="189"/>
        <v>34</v>
      </c>
      <c r="AP296" s="196">
        <f t="shared" ca="1" si="190"/>
        <v>32</v>
      </c>
      <c r="AQ296" s="177">
        <f t="shared" ca="1" si="191"/>
        <v>0</v>
      </c>
      <c r="AR296" s="177">
        <f t="shared" ca="1" si="192"/>
        <v>37.536100721154071</v>
      </c>
      <c r="AS296" s="189"/>
      <c r="AT296" s="190"/>
      <c r="AU296" s="190"/>
    </row>
    <row r="297" spans="1:47" x14ac:dyDescent="0.6">
      <c r="A297" s="152" t="str">
        <f t="shared" ca="1" si="158"/>
        <v>April 2048</v>
      </c>
      <c r="B297" s="191">
        <v>0</v>
      </c>
      <c r="C297" s="270">
        <f t="shared" ca="1" si="178"/>
        <v>5.4899999999999997E-2</v>
      </c>
      <c r="D297" s="192" t="str">
        <f t="shared" ca="1" si="179"/>
        <v/>
      </c>
      <c r="E297" s="193" t="str">
        <f t="shared" ca="1" si="180"/>
        <v/>
      </c>
      <c r="F297" s="194">
        <f t="shared" ca="1" si="181"/>
        <v>49</v>
      </c>
      <c r="G297" s="14">
        <v>280</v>
      </c>
      <c r="H297" s="157">
        <f t="shared" ca="1" si="182"/>
        <v>33</v>
      </c>
      <c r="I297" s="16">
        <f t="shared" ca="1" si="183"/>
        <v>9443.3035032852495</v>
      </c>
      <c r="J297" s="16">
        <f t="shared" ca="1" si="159"/>
        <v>1238.6913237981032</v>
      </c>
      <c r="K297" s="158">
        <f t="shared" ca="1" si="160"/>
        <v>8204.6121794871469</v>
      </c>
      <c r="L297" s="158">
        <f t="shared" ca="1" si="161"/>
        <v>262547.58974359557</v>
      </c>
      <c r="M297" s="15">
        <f t="shared" ca="1" si="162"/>
        <v>-2.5011104298755527E-11</v>
      </c>
      <c r="N297" s="16">
        <f ca="1">IF(Y297=0, 0, ROUND(SUM(Y$17:Y297)-SUM(J$17:J297),0))</f>
        <v>0</v>
      </c>
      <c r="O297" s="16" t="str">
        <f t="shared" ca="1" si="163"/>
        <v/>
      </c>
      <c r="P297" s="16">
        <f t="shared" ca="1" si="164"/>
        <v>4730000</v>
      </c>
      <c r="Q297" s="160">
        <f t="shared" ca="1" si="193"/>
        <v>5000000</v>
      </c>
      <c r="R297" s="160">
        <f t="shared" ca="1" si="193"/>
        <v>0</v>
      </c>
      <c r="S297" s="160">
        <f t="shared" ca="1" si="193"/>
        <v>358488</v>
      </c>
      <c r="T297" s="160">
        <f t="shared" ca="1" si="193"/>
        <v>628000</v>
      </c>
      <c r="U297" s="161" t="str">
        <f t="shared" ca="1" si="165"/>
        <v/>
      </c>
      <c r="V297" s="162">
        <f t="shared" ca="1" si="157"/>
        <v>0.99</v>
      </c>
      <c r="W297" s="195">
        <f t="shared" ca="1" si="184"/>
        <v>33</v>
      </c>
      <c r="X297" s="158">
        <f t="shared" ca="1" si="166"/>
        <v>9443.3035032852586</v>
      </c>
      <c r="Y297" s="16">
        <f t="shared" ca="1" si="167"/>
        <v>1238.6913237980782</v>
      </c>
      <c r="Z297" s="164">
        <f t="shared" ca="1" si="168"/>
        <v>262547.58974359004</v>
      </c>
      <c r="AA297" s="272">
        <f t="shared" ca="1" si="185"/>
        <v>0.22</v>
      </c>
      <c r="AB297" s="16">
        <f t="shared" ca="1" si="169"/>
        <v>9209.0114120496673</v>
      </c>
      <c r="AC297" s="16">
        <f t="shared" ca="1" si="170"/>
        <v>9209.0114120496801</v>
      </c>
      <c r="AD297" s="197"/>
      <c r="AE297" s="274">
        <f t="shared" ca="1" si="171"/>
        <v>1.6821425527395739E-3</v>
      </c>
      <c r="AF297" s="166">
        <f t="shared" ca="1" si="172"/>
        <v>0.62518170397882344</v>
      </c>
      <c r="AG297" s="16">
        <f t="shared" ca="1" si="173"/>
        <v>5757.3054465456416</v>
      </c>
      <c r="AH297" s="16">
        <f t="shared" ca="1" si="174"/>
        <v>5757.3054465456498</v>
      </c>
      <c r="AI297" s="168">
        <f t="shared" ca="1" si="175"/>
        <v>49</v>
      </c>
      <c r="AJ297" s="158">
        <f t="shared" ca="1" si="176"/>
        <v>49</v>
      </c>
      <c r="AK297" s="16">
        <f t="shared" ca="1" si="177"/>
        <v>-9492.3035032852495</v>
      </c>
      <c r="AL297" s="168">
        <f t="shared" ca="1" si="186"/>
        <v>9443.3035032852495</v>
      </c>
      <c r="AM297" s="158">
        <f t="shared" ca="1" si="187"/>
        <v>9480.8396040064035</v>
      </c>
      <c r="AN297" s="158">
        <f t="shared" ca="1" si="188"/>
        <v>8858.2544815325036</v>
      </c>
      <c r="AO297" s="169">
        <f t="shared" ca="1" si="189"/>
        <v>33</v>
      </c>
      <c r="AP297" s="169">
        <f t="shared" ca="1" si="190"/>
        <v>31</v>
      </c>
      <c r="AQ297" s="158">
        <f t="shared" ca="1" si="191"/>
        <v>0</v>
      </c>
      <c r="AR297" s="158">
        <f t="shared" ca="1" si="192"/>
        <v>37.536100721154071</v>
      </c>
      <c r="AS297" s="170"/>
      <c r="AT297" s="159"/>
      <c r="AU297" s="159"/>
    </row>
    <row r="298" spans="1:47" x14ac:dyDescent="0.6">
      <c r="A298" s="171" t="str">
        <f t="shared" ca="1" si="158"/>
        <v>Mai 2048</v>
      </c>
      <c r="B298" s="191">
        <v>0</v>
      </c>
      <c r="C298" s="269">
        <f t="shared" ca="1" si="178"/>
        <v>5.4899999999999997E-2</v>
      </c>
      <c r="D298" s="173" t="str">
        <f t="shared" ca="1" si="179"/>
        <v/>
      </c>
      <c r="E298" s="174" t="str">
        <f t="shared" ca="1" si="180"/>
        <v/>
      </c>
      <c r="F298" s="175">
        <f t="shared" ca="1" si="181"/>
        <v>49</v>
      </c>
      <c r="G298" s="10">
        <v>281</v>
      </c>
      <c r="H298" s="176">
        <f t="shared" ca="1" si="182"/>
        <v>32</v>
      </c>
      <c r="I298" s="12">
        <f t="shared" ca="1" si="183"/>
        <v>9405.7674025640972</v>
      </c>
      <c r="J298" s="12">
        <f t="shared" ca="1" si="159"/>
        <v>1201.1552230769496</v>
      </c>
      <c r="K298" s="177">
        <f t="shared" ca="1" si="160"/>
        <v>8204.6121794871469</v>
      </c>
      <c r="L298" s="177">
        <f t="shared" ca="1" si="161"/>
        <v>254342.97756410841</v>
      </c>
      <c r="M298" s="11">
        <f t="shared" ca="1" si="162"/>
        <v>-2.5238477974198759E-11</v>
      </c>
      <c r="N298" s="12">
        <f ca="1">IF(Y298=0, 0, ROUND(SUM(Y$17:Y298)-SUM(J$17:J298),0))</f>
        <v>0</v>
      </c>
      <c r="O298" s="12" t="str">
        <f t="shared" ca="1" si="163"/>
        <v/>
      </c>
      <c r="P298" s="12">
        <f t="shared" ca="1" si="164"/>
        <v>4740000</v>
      </c>
      <c r="Q298" s="178">
        <f t="shared" ref="Q298:T317" ca="1" si="194">OFFSET(Q298,-1,0,1,1)</f>
        <v>5000000</v>
      </c>
      <c r="R298" s="178">
        <f t="shared" ca="1" si="194"/>
        <v>0</v>
      </c>
      <c r="S298" s="178">
        <f t="shared" ca="1" si="194"/>
        <v>358488</v>
      </c>
      <c r="T298" s="178">
        <f t="shared" ca="1" si="194"/>
        <v>628000</v>
      </c>
      <c r="U298" s="179" t="str">
        <f t="shared" ca="1" si="165"/>
        <v/>
      </c>
      <c r="V298" s="180">
        <f t="shared" ca="1" si="157"/>
        <v>0.98</v>
      </c>
      <c r="W298" s="181">
        <f t="shared" ca="1" si="184"/>
        <v>32</v>
      </c>
      <c r="X298" s="177">
        <f t="shared" ca="1" si="166"/>
        <v>9405.7674025641045</v>
      </c>
      <c r="Y298" s="12">
        <f t="shared" ca="1" si="167"/>
        <v>1201.1552230769244</v>
      </c>
      <c r="Z298" s="182">
        <f t="shared" ca="1" si="168"/>
        <v>254342.97756410285</v>
      </c>
      <c r="AA298" s="271">
        <f t="shared" ca="1" si="185"/>
        <v>0.22</v>
      </c>
      <c r="AB298" s="12">
        <f t="shared" ca="1" si="169"/>
        <v>9179.7332534871675</v>
      </c>
      <c r="AC298" s="12">
        <f t="shared" ca="1" si="170"/>
        <v>9179.7332534871803</v>
      </c>
      <c r="AD298" s="199"/>
      <c r="AE298" s="273">
        <f t="shared" ca="1" si="171"/>
        <v>1.6821425527395739E-3</v>
      </c>
      <c r="AF298" s="184">
        <f t="shared" ca="1" si="172"/>
        <v>0.62413005923136644</v>
      </c>
      <c r="AG298" s="12">
        <f t="shared" ca="1" si="173"/>
        <v>5729.3474592270904</v>
      </c>
      <c r="AH298" s="12">
        <f t="shared" ca="1" si="174"/>
        <v>5729.3474592270977</v>
      </c>
      <c r="AI298" s="185">
        <f t="shared" ca="1" si="175"/>
        <v>49</v>
      </c>
      <c r="AJ298" s="177">
        <f t="shared" ca="1" si="176"/>
        <v>49</v>
      </c>
      <c r="AK298" s="12">
        <f t="shared" ca="1" si="177"/>
        <v>-9454.7674025640972</v>
      </c>
      <c r="AL298" s="185">
        <f t="shared" ca="1" si="186"/>
        <v>9405.7674025640972</v>
      </c>
      <c r="AM298" s="177">
        <f t="shared" ca="1" si="187"/>
        <v>9443.3035032852495</v>
      </c>
      <c r="AN298" s="177">
        <f t="shared" ca="1" si="188"/>
        <v>8838.5590414564485</v>
      </c>
      <c r="AO298" s="196">
        <f t="shared" ca="1" si="189"/>
        <v>32</v>
      </c>
      <c r="AP298" s="196">
        <f t="shared" ca="1" si="190"/>
        <v>30</v>
      </c>
      <c r="AQ298" s="177">
        <f t="shared" ca="1" si="191"/>
        <v>0</v>
      </c>
      <c r="AR298" s="177">
        <f t="shared" ca="1" si="192"/>
        <v>37.536100721152252</v>
      </c>
      <c r="AS298" s="189"/>
      <c r="AT298" s="190"/>
      <c r="AU298" s="190"/>
    </row>
    <row r="299" spans="1:47" x14ac:dyDescent="0.6">
      <c r="A299" s="152" t="str">
        <f t="shared" ca="1" si="158"/>
        <v>Juni 2048</v>
      </c>
      <c r="B299" s="191">
        <v>0</v>
      </c>
      <c r="C299" s="270">
        <f t="shared" ca="1" si="178"/>
        <v>5.4899999999999997E-2</v>
      </c>
      <c r="D299" s="192" t="str">
        <f t="shared" ca="1" si="179"/>
        <v/>
      </c>
      <c r="E299" s="193" t="str">
        <f t="shared" ca="1" si="180"/>
        <v/>
      </c>
      <c r="F299" s="194">
        <f t="shared" ca="1" si="181"/>
        <v>49</v>
      </c>
      <c r="G299" s="14">
        <v>282</v>
      </c>
      <c r="H299" s="157">
        <f t="shared" ca="1" si="182"/>
        <v>31</v>
      </c>
      <c r="I299" s="16">
        <f t="shared" ca="1" si="183"/>
        <v>9368.2313018429431</v>
      </c>
      <c r="J299" s="16">
        <f t="shared" ca="1" si="159"/>
        <v>1163.619122355796</v>
      </c>
      <c r="K299" s="158">
        <f t="shared" ca="1" si="160"/>
        <v>8204.6121794871469</v>
      </c>
      <c r="L299" s="158">
        <f t="shared" ca="1" si="161"/>
        <v>246138.36538462125</v>
      </c>
      <c r="M299" s="15">
        <f t="shared" ca="1" si="162"/>
        <v>-2.5465851649641991E-11</v>
      </c>
      <c r="N299" s="16">
        <f ca="1">IF(Y299=0, 0, ROUND(SUM(Y$17:Y299)-SUM(J$17:J299),0))</f>
        <v>0</v>
      </c>
      <c r="O299" s="16" t="str">
        <f t="shared" ca="1" si="163"/>
        <v/>
      </c>
      <c r="P299" s="16">
        <f t="shared" ca="1" si="164"/>
        <v>4750000</v>
      </c>
      <c r="Q299" s="160">
        <f t="shared" ca="1" si="194"/>
        <v>5000000</v>
      </c>
      <c r="R299" s="160">
        <f t="shared" ca="1" si="194"/>
        <v>0</v>
      </c>
      <c r="S299" s="160">
        <f t="shared" ca="1" si="194"/>
        <v>358488</v>
      </c>
      <c r="T299" s="160">
        <f t="shared" ca="1" si="194"/>
        <v>628000</v>
      </c>
      <c r="U299" s="161" t="str">
        <f t="shared" ca="1" si="165"/>
        <v/>
      </c>
      <c r="V299" s="162">
        <f t="shared" ca="1" si="157"/>
        <v>0.97</v>
      </c>
      <c r="W299" s="195">
        <f t="shared" ca="1" si="184"/>
        <v>31</v>
      </c>
      <c r="X299" s="158">
        <f t="shared" ca="1" si="166"/>
        <v>9368.2313018429504</v>
      </c>
      <c r="Y299" s="16">
        <f t="shared" ca="1" si="167"/>
        <v>1163.6191223557705</v>
      </c>
      <c r="Z299" s="164">
        <f t="shared" ca="1" si="168"/>
        <v>246138.36538461567</v>
      </c>
      <c r="AA299" s="272">
        <f t="shared" ca="1" si="185"/>
        <v>0.22</v>
      </c>
      <c r="AB299" s="16">
        <f t="shared" ca="1" si="169"/>
        <v>9150.4550949246677</v>
      </c>
      <c r="AC299" s="16">
        <f t="shared" ca="1" si="170"/>
        <v>9150.4550949246805</v>
      </c>
      <c r="AD299" s="197"/>
      <c r="AE299" s="274">
        <f t="shared" ca="1" si="171"/>
        <v>1.6821425527395739E-3</v>
      </c>
      <c r="AF299" s="166">
        <f t="shared" ca="1" si="172"/>
        <v>0.62308018350028949</v>
      </c>
      <c r="AG299" s="16">
        <f t="shared" ca="1" si="173"/>
        <v>5701.4672396568212</v>
      </c>
      <c r="AH299" s="16">
        <f t="shared" ca="1" si="174"/>
        <v>5701.4672396568285</v>
      </c>
      <c r="AI299" s="168">
        <f t="shared" ca="1" si="175"/>
        <v>49</v>
      </c>
      <c r="AJ299" s="158">
        <f t="shared" ca="1" si="176"/>
        <v>49</v>
      </c>
      <c r="AK299" s="16">
        <f t="shared" ca="1" si="177"/>
        <v>-9417.2313018429431</v>
      </c>
      <c r="AL299" s="168">
        <f t="shared" ca="1" si="186"/>
        <v>9368.2313018429431</v>
      </c>
      <c r="AM299" s="158">
        <f t="shared" ca="1" si="187"/>
        <v>9405.7674025640972</v>
      </c>
      <c r="AN299" s="158">
        <f t="shared" ca="1" si="188"/>
        <v>8818.8920965273483</v>
      </c>
      <c r="AO299" s="169">
        <f t="shared" ca="1" si="189"/>
        <v>31</v>
      </c>
      <c r="AP299" s="169">
        <f t="shared" ca="1" si="190"/>
        <v>29</v>
      </c>
      <c r="AQ299" s="158">
        <f t="shared" ca="1" si="191"/>
        <v>0</v>
      </c>
      <c r="AR299" s="158">
        <f t="shared" ca="1" si="192"/>
        <v>37.536100721154071</v>
      </c>
      <c r="AS299" s="170"/>
      <c r="AT299" s="159"/>
      <c r="AU299" s="159"/>
    </row>
    <row r="300" spans="1:47" x14ac:dyDescent="0.6">
      <c r="A300" s="171" t="str">
        <f t="shared" ca="1" si="158"/>
        <v>Juli 2048</v>
      </c>
      <c r="B300" s="191">
        <v>0</v>
      </c>
      <c r="C300" s="269">
        <f t="shared" ca="1" si="178"/>
        <v>5.4899999999999997E-2</v>
      </c>
      <c r="D300" s="173" t="str">
        <f t="shared" ca="1" si="179"/>
        <v/>
      </c>
      <c r="E300" s="174" t="str">
        <f t="shared" ca="1" si="180"/>
        <v/>
      </c>
      <c r="F300" s="175">
        <f t="shared" ca="1" si="181"/>
        <v>49</v>
      </c>
      <c r="G300" s="10">
        <v>283</v>
      </c>
      <c r="H300" s="176">
        <f t="shared" ca="1" si="182"/>
        <v>30</v>
      </c>
      <c r="I300" s="12">
        <f t="shared" ca="1" si="183"/>
        <v>9330.6952011217891</v>
      </c>
      <c r="J300" s="12">
        <f t="shared" ca="1" si="159"/>
        <v>1126.0830216346421</v>
      </c>
      <c r="K300" s="177">
        <f t="shared" ca="1" si="160"/>
        <v>8204.6121794871469</v>
      </c>
      <c r="L300" s="177">
        <f t="shared" ca="1" si="161"/>
        <v>237933.7532051341</v>
      </c>
      <c r="M300" s="11">
        <f t="shared" ca="1" si="162"/>
        <v>-2.5465851649641991E-11</v>
      </c>
      <c r="N300" s="12">
        <f ca="1">IF(Y300=0, 0, ROUND(SUM(Y$17:Y300)-SUM(J$17:J300),0))</f>
        <v>0</v>
      </c>
      <c r="O300" s="12" t="str">
        <f t="shared" ca="1" si="163"/>
        <v/>
      </c>
      <c r="P300" s="12">
        <f t="shared" ca="1" si="164"/>
        <v>4760000</v>
      </c>
      <c r="Q300" s="178">
        <f t="shared" ca="1" si="194"/>
        <v>5000000</v>
      </c>
      <c r="R300" s="178">
        <f t="shared" ca="1" si="194"/>
        <v>0</v>
      </c>
      <c r="S300" s="178">
        <f t="shared" ca="1" si="194"/>
        <v>358488</v>
      </c>
      <c r="T300" s="178">
        <f t="shared" ca="1" si="194"/>
        <v>628000</v>
      </c>
      <c r="U300" s="179" t="str">
        <f t="shared" ca="1" si="165"/>
        <v/>
      </c>
      <c r="V300" s="180">
        <f t="shared" ca="1" si="157"/>
        <v>0.95</v>
      </c>
      <c r="W300" s="181">
        <f t="shared" ca="1" si="184"/>
        <v>30</v>
      </c>
      <c r="X300" s="177">
        <f t="shared" ca="1" si="166"/>
        <v>9330.6952011217963</v>
      </c>
      <c r="Y300" s="12">
        <f t="shared" ca="1" si="167"/>
        <v>1126.0830216346167</v>
      </c>
      <c r="Z300" s="182">
        <f t="shared" ca="1" si="168"/>
        <v>237933.75320512848</v>
      </c>
      <c r="AA300" s="271">
        <f t="shared" ca="1" si="185"/>
        <v>0.22</v>
      </c>
      <c r="AB300" s="12">
        <f t="shared" ca="1" si="169"/>
        <v>9121.1769363621679</v>
      </c>
      <c r="AC300" s="12">
        <f t="shared" ca="1" si="170"/>
        <v>9121.1769363621806</v>
      </c>
      <c r="AD300" s="199"/>
      <c r="AE300" s="273">
        <f t="shared" ca="1" si="171"/>
        <v>1.6821425527395739E-3</v>
      </c>
      <c r="AF300" s="184">
        <f t="shared" ca="1" si="172"/>
        <v>0.62203207380985481</v>
      </c>
      <c r="AG300" s="12">
        <f t="shared" ca="1" si="173"/>
        <v>5673.6646053119775</v>
      </c>
      <c r="AH300" s="12">
        <f t="shared" ca="1" si="174"/>
        <v>5673.6646053119857</v>
      </c>
      <c r="AI300" s="185">
        <f t="shared" ca="1" si="175"/>
        <v>49</v>
      </c>
      <c r="AJ300" s="177">
        <f t="shared" ca="1" si="176"/>
        <v>49</v>
      </c>
      <c r="AK300" s="12">
        <f t="shared" ca="1" si="177"/>
        <v>-9379.6952011217891</v>
      </c>
      <c r="AL300" s="185">
        <f t="shared" ca="1" si="186"/>
        <v>9330.6952011217891</v>
      </c>
      <c r="AM300" s="177">
        <f t="shared" ca="1" si="187"/>
        <v>9368.2313018429431</v>
      </c>
      <c r="AN300" s="177">
        <f t="shared" ca="1" si="188"/>
        <v>8799.2536504843101</v>
      </c>
      <c r="AO300" s="196">
        <f t="shared" ca="1" si="189"/>
        <v>30</v>
      </c>
      <c r="AP300" s="196">
        <f t="shared" ca="1" si="190"/>
        <v>29</v>
      </c>
      <c r="AQ300" s="177">
        <f t="shared" ca="1" si="191"/>
        <v>0</v>
      </c>
      <c r="AR300" s="177">
        <f t="shared" ca="1" si="192"/>
        <v>37.536100721154071</v>
      </c>
      <c r="AS300" s="189"/>
      <c r="AT300" s="190"/>
      <c r="AU300" s="190"/>
    </row>
    <row r="301" spans="1:47" x14ac:dyDescent="0.6">
      <c r="A301" s="152" t="str">
        <f t="shared" ca="1" si="158"/>
        <v>August 2048</v>
      </c>
      <c r="B301" s="191">
        <v>0</v>
      </c>
      <c r="C301" s="270">
        <f t="shared" ca="1" si="178"/>
        <v>5.4899999999999997E-2</v>
      </c>
      <c r="D301" s="192" t="str">
        <f t="shared" ca="1" si="179"/>
        <v/>
      </c>
      <c r="E301" s="193" t="str">
        <f t="shared" ca="1" si="180"/>
        <v/>
      </c>
      <c r="F301" s="194">
        <f t="shared" ca="1" si="181"/>
        <v>49</v>
      </c>
      <c r="G301" s="14">
        <v>284</v>
      </c>
      <c r="H301" s="157">
        <f t="shared" ca="1" si="182"/>
        <v>29</v>
      </c>
      <c r="I301" s="16">
        <f t="shared" ca="1" si="183"/>
        <v>9293.159100400635</v>
      </c>
      <c r="J301" s="16">
        <f t="shared" ca="1" si="159"/>
        <v>1088.5469209134883</v>
      </c>
      <c r="K301" s="158">
        <f t="shared" ca="1" si="160"/>
        <v>8204.6121794871469</v>
      </c>
      <c r="L301" s="158">
        <f t="shared" ca="1" si="161"/>
        <v>229729.14102564694</v>
      </c>
      <c r="M301" s="15">
        <f t="shared" ca="1" si="162"/>
        <v>-2.5465851649641991E-11</v>
      </c>
      <c r="N301" s="16">
        <f ca="1">IF(Y301=0, 0, ROUND(SUM(Y$17:Y301)-SUM(J$17:J301),0))</f>
        <v>0</v>
      </c>
      <c r="O301" s="16" t="str">
        <f t="shared" ca="1" si="163"/>
        <v/>
      </c>
      <c r="P301" s="16">
        <f t="shared" ca="1" si="164"/>
        <v>4770000</v>
      </c>
      <c r="Q301" s="160">
        <f t="shared" ca="1" si="194"/>
        <v>5000000</v>
      </c>
      <c r="R301" s="160">
        <f t="shared" ca="1" si="194"/>
        <v>0</v>
      </c>
      <c r="S301" s="160">
        <f t="shared" ca="1" si="194"/>
        <v>358488</v>
      </c>
      <c r="T301" s="160">
        <f t="shared" ca="1" si="194"/>
        <v>628000</v>
      </c>
      <c r="U301" s="161" t="str">
        <f t="shared" ca="1" si="165"/>
        <v/>
      </c>
      <c r="V301" s="162">
        <f t="shared" ca="1" si="157"/>
        <v>0.94000000000000006</v>
      </c>
      <c r="W301" s="195">
        <f t="shared" ca="1" si="184"/>
        <v>29</v>
      </c>
      <c r="X301" s="158">
        <f t="shared" ca="1" si="166"/>
        <v>9293.1591004006423</v>
      </c>
      <c r="Y301" s="16">
        <f t="shared" ca="1" si="167"/>
        <v>1088.5469209134628</v>
      </c>
      <c r="Z301" s="164">
        <f t="shared" ca="1" si="168"/>
        <v>229729.14102564132</v>
      </c>
      <c r="AA301" s="272">
        <f t="shared" ca="1" si="185"/>
        <v>0.22</v>
      </c>
      <c r="AB301" s="16">
        <f t="shared" ca="1" si="169"/>
        <v>9091.8987777996681</v>
      </c>
      <c r="AC301" s="16">
        <f t="shared" ca="1" si="170"/>
        <v>9091.8987777996808</v>
      </c>
      <c r="AD301" s="197"/>
      <c r="AE301" s="274">
        <f t="shared" ca="1" si="171"/>
        <v>1.6821425527395739E-3</v>
      </c>
      <c r="AF301" s="166">
        <f t="shared" ca="1" si="172"/>
        <v>0.62098572718933043</v>
      </c>
      <c r="AG301" s="16">
        <f t="shared" ca="1" si="173"/>
        <v>5645.9393740637115</v>
      </c>
      <c r="AH301" s="16">
        <f t="shared" ca="1" si="174"/>
        <v>5645.9393740637197</v>
      </c>
      <c r="AI301" s="168">
        <f t="shared" ca="1" si="175"/>
        <v>49</v>
      </c>
      <c r="AJ301" s="158">
        <f t="shared" ca="1" si="176"/>
        <v>49</v>
      </c>
      <c r="AK301" s="16">
        <f t="shared" ca="1" si="177"/>
        <v>-9342.159100400635</v>
      </c>
      <c r="AL301" s="168">
        <f t="shared" ca="1" si="186"/>
        <v>9293.159100400635</v>
      </c>
      <c r="AM301" s="158">
        <f t="shared" ca="1" si="187"/>
        <v>9330.6952011217891</v>
      </c>
      <c r="AN301" s="158">
        <f t="shared" ca="1" si="188"/>
        <v>8779.6437069482927</v>
      </c>
      <c r="AO301" s="169">
        <f t="shared" ca="1" si="189"/>
        <v>29</v>
      </c>
      <c r="AP301" s="169">
        <f t="shared" ca="1" si="190"/>
        <v>28</v>
      </c>
      <c r="AQ301" s="158">
        <f t="shared" ca="1" si="191"/>
        <v>0</v>
      </c>
      <c r="AR301" s="158">
        <f t="shared" ca="1" si="192"/>
        <v>37.536100721154071</v>
      </c>
      <c r="AS301" s="170"/>
      <c r="AT301" s="159"/>
      <c r="AU301" s="159"/>
    </row>
    <row r="302" spans="1:47" x14ac:dyDescent="0.6">
      <c r="A302" s="171" t="str">
        <f t="shared" ca="1" si="158"/>
        <v>September 2048</v>
      </c>
      <c r="B302" s="191">
        <v>0</v>
      </c>
      <c r="C302" s="269">
        <f t="shared" ca="1" si="178"/>
        <v>5.4899999999999997E-2</v>
      </c>
      <c r="D302" s="173" t="str">
        <f t="shared" ca="1" si="179"/>
        <v/>
      </c>
      <c r="E302" s="174" t="str">
        <f t="shared" ca="1" si="180"/>
        <v/>
      </c>
      <c r="F302" s="175">
        <f t="shared" ca="1" si="181"/>
        <v>49</v>
      </c>
      <c r="G302" s="10">
        <v>285</v>
      </c>
      <c r="H302" s="176">
        <f t="shared" ca="1" si="182"/>
        <v>28</v>
      </c>
      <c r="I302" s="12">
        <f t="shared" ca="1" si="183"/>
        <v>9255.6229996794809</v>
      </c>
      <c r="J302" s="12">
        <f t="shared" ca="1" si="159"/>
        <v>1051.0108201923347</v>
      </c>
      <c r="K302" s="177">
        <f t="shared" ca="1" si="160"/>
        <v>8204.6121794871469</v>
      </c>
      <c r="L302" s="177">
        <f t="shared" ca="1" si="161"/>
        <v>221524.52884615978</v>
      </c>
      <c r="M302" s="11">
        <f t="shared" ca="1" si="162"/>
        <v>-2.5693225325085223E-11</v>
      </c>
      <c r="N302" s="12">
        <f ca="1">IF(Y302=0, 0, ROUND(SUM(Y$17:Y302)-SUM(J$17:J302),0))</f>
        <v>0</v>
      </c>
      <c r="O302" s="12" t="str">
        <f t="shared" ca="1" si="163"/>
        <v/>
      </c>
      <c r="P302" s="12" t="str">
        <f t="shared" ca="1" si="164"/>
        <v/>
      </c>
      <c r="Q302" s="178">
        <f t="shared" ca="1" si="194"/>
        <v>5000000</v>
      </c>
      <c r="R302" s="178">
        <f t="shared" ca="1" si="194"/>
        <v>0</v>
      </c>
      <c r="S302" s="178">
        <f t="shared" ca="1" si="194"/>
        <v>358488</v>
      </c>
      <c r="T302" s="178">
        <f t="shared" ca="1" si="194"/>
        <v>628000</v>
      </c>
      <c r="U302" s="179" t="str">
        <f t="shared" ca="1" si="165"/>
        <v/>
      </c>
      <c r="V302" s="180">
        <f t="shared" ca="1" si="157"/>
        <v>0.93</v>
      </c>
      <c r="W302" s="181">
        <f t="shared" ca="1" si="184"/>
        <v>28</v>
      </c>
      <c r="X302" s="177">
        <f t="shared" ca="1" si="166"/>
        <v>9255.6229996794882</v>
      </c>
      <c r="Y302" s="12">
        <f t="shared" ca="1" si="167"/>
        <v>1051.010820192309</v>
      </c>
      <c r="Z302" s="182">
        <f t="shared" ca="1" si="168"/>
        <v>221524.52884615413</v>
      </c>
      <c r="AA302" s="271">
        <f t="shared" ca="1" si="185"/>
        <v>0.22</v>
      </c>
      <c r="AB302" s="12">
        <f t="shared" ca="1" si="169"/>
        <v>9062.6206192371683</v>
      </c>
      <c r="AC302" s="12">
        <f t="shared" ca="1" si="170"/>
        <v>9062.620619237181</v>
      </c>
      <c r="AD302" s="199"/>
      <c r="AE302" s="273">
        <f t="shared" ca="1" si="171"/>
        <v>1.6821425527395739E-3</v>
      </c>
      <c r="AF302" s="184">
        <f t="shared" ca="1" si="172"/>
        <v>0.61994114067298134</v>
      </c>
      <c r="AG302" s="12">
        <f t="shared" ca="1" si="173"/>
        <v>5618.2913641763707</v>
      </c>
      <c r="AH302" s="12">
        <f t="shared" ca="1" si="174"/>
        <v>5618.2913641763789</v>
      </c>
      <c r="AI302" s="185">
        <f t="shared" ca="1" si="175"/>
        <v>49</v>
      </c>
      <c r="AJ302" s="177">
        <f t="shared" ca="1" si="176"/>
        <v>49</v>
      </c>
      <c r="AK302" s="12">
        <f t="shared" ca="1" si="177"/>
        <v>-9304.6229996794809</v>
      </c>
      <c r="AL302" s="185">
        <f t="shared" ca="1" si="186"/>
        <v>9255.6229996794809</v>
      </c>
      <c r="AM302" s="177">
        <f t="shared" ca="1" si="187"/>
        <v>9293.159100400635</v>
      </c>
      <c r="AN302" s="177">
        <f t="shared" ca="1" si="188"/>
        <v>8760.0622694220601</v>
      </c>
      <c r="AO302" s="196">
        <f t="shared" ca="1" si="189"/>
        <v>28</v>
      </c>
      <c r="AP302" s="196">
        <f t="shared" ca="1" si="190"/>
        <v>27</v>
      </c>
      <c r="AQ302" s="177">
        <f t="shared" ca="1" si="191"/>
        <v>0</v>
      </c>
      <c r="AR302" s="177">
        <f t="shared" ca="1" si="192"/>
        <v>37.536100721154071</v>
      </c>
      <c r="AS302" s="189"/>
      <c r="AT302" s="190"/>
      <c r="AU302" s="190"/>
    </row>
    <row r="303" spans="1:47" x14ac:dyDescent="0.6">
      <c r="A303" s="152" t="str">
        <f t="shared" ca="1" si="158"/>
        <v>Oktober 2048</v>
      </c>
      <c r="B303" s="191">
        <v>0</v>
      </c>
      <c r="C303" s="270">
        <f t="shared" ca="1" si="178"/>
        <v>5.4899999999999997E-2</v>
      </c>
      <c r="D303" s="192" t="str">
        <f t="shared" ca="1" si="179"/>
        <v/>
      </c>
      <c r="E303" s="193" t="str">
        <f t="shared" ca="1" si="180"/>
        <v/>
      </c>
      <c r="F303" s="194">
        <f t="shared" ca="1" si="181"/>
        <v>49</v>
      </c>
      <c r="G303" s="14">
        <v>286</v>
      </c>
      <c r="H303" s="157">
        <f t="shared" ca="1" si="182"/>
        <v>27</v>
      </c>
      <c r="I303" s="16">
        <f t="shared" ca="1" si="183"/>
        <v>9218.0868989583287</v>
      </c>
      <c r="J303" s="16">
        <f t="shared" ca="1" si="159"/>
        <v>1013.4747194711809</v>
      </c>
      <c r="K303" s="158">
        <f t="shared" ca="1" si="160"/>
        <v>8204.6121794871469</v>
      </c>
      <c r="L303" s="158">
        <f t="shared" ca="1" si="161"/>
        <v>213319.91666667262</v>
      </c>
      <c r="M303" s="15">
        <f t="shared" ca="1" si="162"/>
        <v>-2.5920599000528455E-11</v>
      </c>
      <c r="N303" s="16">
        <f ca="1">IF(Y303=0, 0, ROUND(SUM(Y$17:Y303)-SUM(J$17:J303),0))</f>
        <v>0</v>
      </c>
      <c r="O303" s="16" t="str">
        <f t="shared" ca="1" si="163"/>
        <v/>
      </c>
      <c r="P303" s="16">
        <f t="shared" ca="1" si="164"/>
        <v>4780000</v>
      </c>
      <c r="Q303" s="160">
        <f t="shared" ca="1" si="194"/>
        <v>5000000</v>
      </c>
      <c r="R303" s="160">
        <f t="shared" ca="1" si="194"/>
        <v>0</v>
      </c>
      <c r="S303" s="160">
        <f t="shared" ca="1" si="194"/>
        <v>358488</v>
      </c>
      <c r="T303" s="160">
        <f t="shared" ca="1" si="194"/>
        <v>628000</v>
      </c>
      <c r="U303" s="161" t="str">
        <f t="shared" ca="1" si="165"/>
        <v/>
      </c>
      <c r="V303" s="162">
        <f t="shared" ca="1" si="157"/>
        <v>0.92</v>
      </c>
      <c r="W303" s="195">
        <f t="shared" ca="1" si="184"/>
        <v>27</v>
      </c>
      <c r="X303" s="158">
        <f t="shared" ca="1" si="166"/>
        <v>9218.0868989583341</v>
      </c>
      <c r="Y303" s="16">
        <f t="shared" ca="1" si="167"/>
        <v>1013.474719471155</v>
      </c>
      <c r="Z303" s="164">
        <f t="shared" ca="1" si="168"/>
        <v>213319.91666666695</v>
      </c>
      <c r="AA303" s="272">
        <f t="shared" ca="1" si="185"/>
        <v>0.22</v>
      </c>
      <c r="AB303" s="16">
        <f t="shared" ca="1" si="169"/>
        <v>9033.3424606746685</v>
      </c>
      <c r="AC303" s="16">
        <f t="shared" ca="1" si="170"/>
        <v>9033.3424606746812</v>
      </c>
      <c r="AD303" s="197"/>
      <c r="AE303" s="274">
        <f t="shared" ca="1" si="171"/>
        <v>1.6821425527395739E-3</v>
      </c>
      <c r="AF303" s="166">
        <f t="shared" ca="1" si="172"/>
        <v>0.61889831130006145</v>
      </c>
      <c r="AG303" s="16">
        <f t="shared" ca="1" si="173"/>
        <v>5590.7203943066943</v>
      </c>
      <c r="AH303" s="16">
        <f t="shared" ca="1" si="174"/>
        <v>5590.7203943067016</v>
      </c>
      <c r="AI303" s="168">
        <f t="shared" ca="1" si="175"/>
        <v>49</v>
      </c>
      <c r="AJ303" s="158">
        <f t="shared" ca="1" si="176"/>
        <v>49</v>
      </c>
      <c r="AK303" s="16">
        <f t="shared" ca="1" si="177"/>
        <v>-9267.0868989583287</v>
      </c>
      <c r="AL303" s="168">
        <f t="shared" ca="1" si="186"/>
        <v>9218.0868989583287</v>
      </c>
      <c r="AM303" s="158">
        <f t="shared" ca="1" si="187"/>
        <v>9255.6229996794809</v>
      </c>
      <c r="AN303" s="158">
        <f t="shared" ca="1" si="188"/>
        <v>8740.5093412901151</v>
      </c>
      <c r="AO303" s="169">
        <f t="shared" ca="1" si="189"/>
        <v>27</v>
      </c>
      <c r="AP303" s="169">
        <f t="shared" ca="1" si="190"/>
        <v>26</v>
      </c>
      <c r="AQ303" s="158">
        <f t="shared" ca="1" si="191"/>
        <v>0</v>
      </c>
      <c r="AR303" s="158">
        <f t="shared" ca="1" si="192"/>
        <v>37.536100721152252</v>
      </c>
      <c r="AS303" s="170"/>
      <c r="AT303" s="159"/>
      <c r="AU303" s="159"/>
    </row>
    <row r="304" spans="1:47" x14ac:dyDescent="0.6">
      <c r="A304" s="171" t="str">
        <f t="shared" ca="1" si="158"/>
        <v>November 2048</v>
      </c>
      <c r="B304" s="191">
        <v>0</v>
      </c>
      <c r="C304" s="269">
        <f t="shared" ca="1" si="178"/>
        <v>5.4899999999999997E-2</v>
      </c>
      <c r="D304" s="173" t="str">
        <f t="shared" ca="1" si="179"/>
        <v/>
      </c>
      <c r="E304" s="174" t="str">
        <f t="shared" ca="1" si="180"/>
        <v/>
      </c>
      <c r="F304" s="175">
        <f t="shared" ca="1" si="181"/>
        <v>49</v>
      </c>
      <c r="G304" s="10">
        <v>287</v>
      </c>
      <c r="H304" s="176">
        <f t="shared" ca="1" si="182"/>
        <v>26</v>
      </c>
      <c r="I304" s="12">
        <f t="shared" ca="1" si="183"/>
        <v>9180.5507982371746</v>
      </c>
      <c r="J304" s="12">
        <f t="shared" ca="1" si="159"/>
        <v>975.93861875002722</v>
      </c>
      <c r="K304" s="177">
        <f t="shared" ca="1" si="160"/>
        <v>8204.6121794871469</v>
      </c>
      <c r="L304" s="177">
        <f t="shared" ca="1" si="161"/>
        <v>205115.30448718547</v>
      </c>
      <c r="M304" s="11">
        <f t="shared" ca="1" si="162"/>
        <v>-2.5920599000528455E-11</v>
      </c>
      <c r="N304" s="12">
        <f ca="1">IF(Y304=0, 0, ROUND(SUM(Y$17:Y304)-SUM(J$17:J304),0))</f>
        <v>0</v>
      </c>
      <c r="O304" s="12" t="str">
        <f t="shared" ca="1" si="163"/>
        <v/>
      </c>
      <c r="P304" s="12">
        <f t="shared" ca="1" si="164"/>
        <v>4790000</v>
      </c>
      <c r="Q304" s="178">
        <f t="shared" ca="1" si="194"/>
        <v>5000000</v>
      </c>
      <c r="R304" s="178">
        <f t="shared" ca="1" si="194"/>
        <v>0</v>
      </c>
      <c r="S304" s="178">
        <f t="shared" ca="1" si="194"/>
        <v>358488</v>
      </c>
      <c r="T304" s="178">
        <f t="shared" ca="1" si="194"/>
        <v>628000</v>
      </c>
      <c r="U304" s="179" t="str">
        <f t="shared" ca="1" si="165"/>
        <v/>
      </c>
      <c r="V304" s="180">
        <f t="shared" ca="1" si="157"/>
        <v>0.9</v>
      </c>
      <c r="W304" s="181">
        <f t="shared" ca="1" si="184"/>
        <v>26</v>
      </c>
      <c r="X304" s="177">
        <f t="shared" ca="1" si="166"/>
        <v>9180.5507982371819</v>
      </c>
      <c r="Y304" s="12">
        <f t="shared" ca="1" si="167"/>
        <v>975.9386187500013</v>
      </c>
      <c r="Z304" s="182">
        <f t="shared" ca="1" si="168"/>
        <v>205115.30448717976</v>
      </c>
      <c r="AA304" s="271">
        <f t="shared" ca="1" si="185"/>
        <v>0.22</v>
      </c>
      <c r="AB304" s="12">
        <f t="shared" ca="1" si="169"/>
        <v>9004.0643021121687</v>
      </c>
      <c r="AC304" s="12">
        <f t="shared" ca="1" si="170"/>
        <v>9004.0643021121814</v>
      </c>
      <c r="AD304" s="199"/>
      <c r="AE304" s="273">
        <f t="shared" ca="1" si="171"/>
        <v>1.6821425527395739E-3</v>
      </c>
      <c r="AF304" s="184">
        <f t="shared" ca="1" si="172"/>
        <v>0.61785723611480492</v>
      </c>
      <c r="AG304" s="12">
        <f t="shared" ca="1" si="173"/>
        <v>5563.2262835030042</v>
      </c>
      <c r="AH304" s="12">
        <f t="shared" ca="1" si="174"/>
        <v>5563.2262835030124</v>
      </c>
      <c r="AI304" s="185">
        <f t="shared" ca="1" si="175"/>
        <v>49</v>
      </c>
      <c r="AJ304" s="177">
        <f t="shared" ca="1" si="176"/>
        <v>49</v>
      </c>
      <c r="AK304" s="12">
        <f t="shared" ca="1" si="177"/>
        <v>-9229.5507982371746</v>
      </c>
      <c r="AL304" s="185">
        <f t="shared" ca="1" si="186"/>
        <v>9180.5507982371746</v>
      </c>
      <c r="AM304" s="177">
        <f t="shared" ca="1" si="187"/>
        <v>9218.0868989583287</v>
      </c>
      <c r="AN304" s="177">
        <f t="shared" ca="1" si="188"/>
        <v>8720.9849258186696</v>
      </c>
      <c r="AO304" s="196">
        <f t="shared" ca="1" si="189"/>
        <v>26</v>
      </c>
      <c r="AP304" s="196">
        <f t="shared" ca="1" si="190"/>
        <v>25</v>
      </c>
      <c r="AQ304" s="177">
        <f t="shared" ca="1" si="191"/>
        <v>0</v>
      </c>
      <c r="AR304" s="177">
        <f t="shared" ca="1" si="192"/>
        <v>37.536100721154071</v>
      </c>
      <c r="AS304" s="189"/>
      <c r="AT304" s="190"/>
      <c r="AU304" s="190"/>
    </row>
    <row r="305" spans="1:47" x14ac:dyDescent="0.6">
      <c r="A305" s="152" t="str">
        <f t="shared" ca="1" si="158"/>
        <v>Desember 2048</v>
      </c>
      <c r="B305" s="191">
        <v>0</v>
      </c>
      <c r="C305" s="270">
        <f t="shared" ca="1" si="178"/>
        <v>5.4899999999999997E-2</v>
      </c>
      <c r="D305" s="192" t="str">
        <f t="shared" ca="1" si="179"/>
        <v/>
      </c>
      <c r="E305" s="193" t="str">
        <f t="shared" ca="1" si="180"/>
        <v/>
      </c>
      <c r="F305" s="194">
        <f t="shared" ca="1" si="181"/>
        <v>49</v>
      </c>
      <c r="G305" s="14">
        <v>288</v>
      </c>
      <c r="H305" s="157">
        <f t="shared" ca="1" si="182"/>
        <v>25</v>
      </c>
      <c r="I305" s="16">
        <f t="shared" ca="1" si="183"/>
        <v>9143.0146975160205</v>
      </c>
      <c r="J305" s="16">
        <f t="shared" ca="1" si="159"/>
        <v>938.40251802887349</v>
      </c>
      <c r="K305" s="158">
        <f t="shared" ca="1" si="160"/>
        <v>8204.6121794871469</v>
      </c>
      <c r="L305" s="158">
        <f t="shared" ca="1" si="161"/>
        <v>196910.69230769831</v>
      </c>
      <c r="M305" s="15">
        <f t="shared" ca="1" si="162"/>
        <v>-2.6147972675971687E-11</v>
      </c>
      <c r="N305" s="16">
        <f ca="1">IF(Y305=0, 0, ROUND(SUM(Y$17:Y305)-SUM(J$17:J305),0))</f>
        <v>0</v>
      </c>
      <c r="O305" s="16" t="str">
        <f t="shared" ca="1" si="163"/>
        <v/>
      </c>
      <c r="P305" s="16">
        <f t="shared" ca="1" si="164"/>
        <v>4800000</v>
      </c>
      <c r="Q305" s="160">
        <f t="shared" ca="1" si="194"/>
        <v>5000000</v>
      </c>
      <c r="R305" s="160">
        <f t="shared" ca="1" si="194"/>
        <v>0</v>
      </c>
      <c r="S305" s="160">
        <f t="shared" ca="1" si="194"/>
        <v>358488</v>
      </c>
      <c r="T305" s="160">
        <f t="shared" ca="1" si="194"/>
        <v>628000</v>
      </c>
      <c r="U305" s="161" t="str">
        <f t="shared" ca="1" si="165"/>
        <v/>
      </c>
      <c r="V305" s="162">
        <f t="shared" ca="1" si="157"/>
        <v>0.89</v>
      </c>
      <c r="W305" s="195">
        <f t="shared" ca="1" si="184"/>
        <v>25</v>
      </c>
      <c r="X305" s="158">
        <f t="shared" ca="1" si="166"/>
        <v>9143.0146975160278</v>
      </c>
      <c r="Y305" s="16">
        <f t="shared" ca="1" si="167"/>
        <v>938.40251802884734</v>
      </c>
      <c r="Z305" s="164">
        <f t="shared" ca="1" si="168"/>
        <v>196910.6923076926</v>
      </c>
      <c r="AA305" s="272">
        <f t="shared" ca="1" si="185"/>
        <v>0.22</v>
      </c>
      <c r="AB305" s="16">
        <f t="shared" ca="1" si="169"/>
        <v>8974.7861435496689</v>
      </c>
      <c r="AC305" s="16">
        <f t="shared" ca="1" si="170"/>
        <v>8974.7861435496816</v>
      </c>
      <c r="AD305" s="197"/>
      <c r="AE305" s="274">
        <f t="shared" ca="1" si="171"/>
        <v>1.6821425527395739E-3</v>
      </c>
      <c r="AF305" s="166">
        <f t="shared" ca="1" si="172"/>
        <v>0.61681791216641813</v>
      </c>
      <c r="AG305" s="16">
        <f t="shared" ca="1" si="173"/>
        <v>5535.808851204406</v>
      </c>
      <c r="AH305" s="16">
        <f t="shared" ca="1" si="174"/>
        <v>5535.8088512044142</v>
      </c>
      <c r="AI305" s="168">
        <f t="shared" ca="1" si="175"/>
        <v>49</v>
      </c>
      <c r="AJ305" s="158">
        <f t="shared" ca="1" si="176"/>
        <v>49</v>
      </c>
      <c r="AK305" s="16">
        <f t="shared" ca="1" si="177"/>
        <v>-9192.0146975160205</v>
      </c>
      <c r="AL305" s="168">
        <f t="shared" ca="1" si="186"/>
        <v>9143.0146975160205</v>
      </c>
      <c r="AM305" s="158">
        <f t="shared" ca="1" si="187"/>
        <v>9180.5507982371746</v>
      </c>
      <c r="AN305" s="158">
        <f t="shared" ca="1" si="188"/>
        <v>8701.4890261555865</v>
      </c>
      <c r="AO305" s="169">
        <f t="shared" ca="1" si="189"/>
        <v>25</v>
      </c>
      <c r="AP305" s="169">
        <f t="shared" ca="1" si="190"/>
        <v>24</v>
      </c>
      <c r="AQ305" s="158">
        <f t="shared" ca="1" si="191"/>
        <v>0</v>
      </c>
      <c r="AR305" s="158">
        <f t="shared" ca="1" si="192"/>
        <v>37.536100721154071</v>
      </c>
      <c r="AS305" s="170"/>
      <c r="AT305" s="159"/>
      <c r="AU305" s="159"/>
    </row>
    <row r="306" spans="1:47" x14ac:dyDescent="0.6">
      <c r="A306" s="171" t="str">
        <f t="shared" ca="1" si="158"/>
        <v>Januar 2049</v>
      </c>
      <c r="B306" s="191">
        <v>0</v>
      </c>
      <c r="C306" s="269">
        <f t="shared" ca="1" si="178"/>
        <v>5.4899999999999997E-2</v>
      </c>
      <c r="D306" s="173" t="str">
        <f t="shared" ca="1" si="179"/>
        <v/>
      </c>
      <c r="E306" s="174" t="str">
        <f t="shared" ca="1" si="180"/>
        <v/>
      </c>
      <c r="F306" s="175">
        <f t="shared" ca="1" si="181"/>
        <v>49</v>
      </c>
      <c r="G306" s="10">
        <v>289</v>
      </c>
      <c r="H306" s="176">
        <f t="shared" ca="1" si="182"/>
        <v>24</v>
      </c>
      <c r="I306" s="12">
        <f t="shared" ca="1" si="183"/>
        <v>9105.4785967948665</v>
      </c>
      <c r="J306" s="12">
        <f t="shared" ca="1" si="159"/>
        <v>900.86641730771964</v>
      </c>
      <c r="K306" s="177">
        <f t="shared" ca="1" si="160"/>
        <v>8204.6121794871469</v>
      </c>
      <c r="L306" s="177">
        <f t="shared" ca="1" si="161"/>
        <v>188706.08012821115</v>
      </c>
      <c r="M306" s="11">
        <f t="shared" ca="1" si="162"/>
        <v>-2.6034285838250071E-11</v>
      </c>
      <c r="N306" s="12">
        <f ca="1">IF(Y306=0, 0, ROUND(SUM(Y$17:Y306)-SUM(J$17:J306),0))</f>
        <v>0</v>
      </c>
      <c r="O306" s="12" t="str">
        <f t="shared" ca="1" si="163"/>
        <v/>
      </c>
      <c r="P306" s="12">
        <f t="shared" ca="1" si="164"/>
        <v>4810000</v>
      </c>
      <c r="Q306" s="178">
        <f t="shared" ca="1" si="194"/>
        <v>5000000</v>
      </c>
      <c r="R306" s="178">
        <f t="shared" ca="1" si="194"/>
        <v>0</v>
      </c>
      <c r="S306" s="178">
        <f t="shared" ca="1" si="194"/>
        <v>358488</v>
      </c>
      <c r="T306" s="178">
        <f t="shared" ca="1" si="194"/>
        <v>628000</v>
      </c>
      <c r="U306" s="179" t="str">
        <f t="shared" ca="1" si="165"/>
        <v/>
      </c>
      <c r="V306" s="180">
        <f t="shared" ca="1" si="157"/>
        <v>0.88</v>
      </c>
      <c r="W306" s="181">
        <f t="shared" ca="1" si="184"/>
        <v>24</v>
      </c>
      <c r="X306" s="177">
        <f t="shared" ca="1" si="166"/>
        <v>9105.4785967948737</v>
      </c>
      <c r="Y306" s="12">
        <f t="shared" ca="1" si="167"/>
        <v>900.86641730769361</v>
      </c>
      <c r="Z306" s="182">
        <f t="shared" ca="1" si="168"/>
        <v>188706.08012820542</v>
      </c>
      <c r="AA306" s="271">
        <f t="shared" ca="1" si="185"/>
        <v>0.22</v>
      </c>
      <c r="AB306" s="12">
        <f t="shared" ca="1" si="169"/>
        <v>8945.507984987169</v>
      </c>
      <c r="AC306" s="12">
        <f t="shared" ca="1" si="170"/>
        <v>8945.50798498718</v>
      </c>
      <c r="AD306" s="199"/>
      <c r="AE306" s="273">
        <f t="shared" ca="1" si="171"/>
        <v>1.6821425527395739E-3</v>
      </c>
      <c r="AF306" s="184">
        <f t="shared" ca="1" si="172"/>
        <v>0.61578033650907105</v>
      </c>
      <c r="AG306" s="12">
        <f t="shared" ca="1" si="173"/>
        <v>5508.467917239981</v>
      </c>
      <c r="AH306" s="12">
        <f t="shared" ca="1" si="174"/>
        <v>5508.4679172399874</v>
      </c>
      <c r="AI306" s="185">
        <f t="shared" ca="1" si="175"/>
        <v>49</v>
      </c>
      <c r="AJ306" s="177">
        <f t="shared" ca="1" si="176"/>
        <v>49</v>
      </c>
      <c r="AK306" s="12">
        <f t="shared" ca="1" si="177"/>
        <v>-9154.4785967948665</v>
      </c>
      <c r="AL306" s="185">
        <f t="shared" ca="1" si="186"/>
        <v>9105.4785967948665</v>
      </c>
      <c r="AM306" s="177">
        <f t="shared" ca="1" si="187"/>
        <v>9143.0146975160205</v>
      </c>
      <c r="AN306" s="177">
        <f t="shared" ca="1" si="188"/>
        <v>8682.0216453303219</v>
      </c>
      <c r="AO306" s="196">
        <f t="shared" ca="1" si="189"/>
        <v>24</v>
      </c>
      <c r="AP306" s="196">
        <f t="shared" ca="1" si="190"/>
        <v>23</v>
      </c>
      <c r="AQ306" s="177">
        <f t="shared" ca="1" si="191"/>
        <v>0</v>
      </c>
      <c r="AR306" s="177">
        <f t="shared" ca="1" si="192"/>
        <v>37.536100721154071</v>
      </c>
      <c r="AS306" s="189"/>
      <c r="AT306" s="190"/>
      <c r="AU306" s="190"/>
    </row>
    <row r="307" spans="1:47" x14ac:dyDescent="0.6">
      <c r="A307" s="152" t="str">
        <f t="shared" ca="1" si="158"/>
        <v>Februar 2049</v>
      </c>
      <c r="B307" s="191">
        <v>0</v>
      </c>
      <c r="C307" s="270">
        <f t="shared" ca="1" si="178"/>
        <v>5.4899999999999997E-2</v>
      </c>
      <c r="D307" s="192" t="str">
        <f t="shared" ca="1" si="179"/>
        <v/>
      </c>
      <c r="E307" s="193" t="str">
        <f t="shared" ca="1" si="180"/>
        <v/>
      </c>
      <c r="F307" s="194">
        <f t="shared" ca="1" si="181"/>
        <v>49</v>
      </c>
      <c r="G307" s="14">
        <v>290</v>
      </c>
      <c r="H307" s="157">
        <f t="shared" ca="1" si="182"/>
        <v>23</v>
      </c>
      <c r="I307" s="16">
        <f t="shared" ca="1" si="183"/>
        <v>9067.9424960737124</v>
      </c>
      <c r="J307" s="16">
        <f t="shared" ca="1" si="159"/>
        <v>863.33031658656591</v>
      </c>
      <c r="K307" s="158">
        <f t="shared" ca="1" si="160"/>
        <v>8204.6121794871469</v>
      </c>
      <c r="L307" s="158">
        <f t="shared" ca="1" si="161"/>
        <v>180501.46794872399</v>
      </c>
      <c r="M307" s="15">
        <f t="shared" ca="1" si="162"/>
        <v>-2.6261659513693303E-11</v>
      </c>
      <c r="N307" s="16">
        <f ca="1">IF(Y307=0, 0, ROUND(SUM(Y$17:Y307)-SUM(J$17:J307),0))</f>
        <v>0</v>
      </c>
      <c r="O307" s="16" t="str">
        <f t="shared" ca="1" si="163"/>
        <v/>
      </c>
      <c r="P307" s="16" t="str">
        <f t="shared" ca="1" si="164"/>
        <v/>
      </c>
      <c r="Q307" s="160">
        <f t="shared" ca="1" si="194"/>
        <v>5000000</v>
      </c>
      <c r="R307" s="160">
        <f t="shared" ca="1" si="194"/>
        <v>0</v>
      </c>
      <c r="S307" s="160">
        <f t="shared" ca="1" si="194"/>
        <v>358488</v>
      </c>
      <c r="T307" s="160">
        <f t="shared" ca="1" si="194"/>
        <v>628000</v>
      </c>
      <c r="U307" s="161" t="str">
        <f t="shared" ca="1" si="165"/>
        <v/>
      </c>
      <c r="V307" s="162">
        <f t="shared" ca="1" si="157"/>
        <v>0.86</v>
      </c>
      <c r="W307" s="195">
        <f t="shared" ca="1" si="184"/>
        <v>23</v>
      </c>
      <c r="X307" s="158">
        <f t="shared" ca="1" si="166"/>
        <v>9067.9424960737197</v>
      </c>
      <c r="Y307" s="16">
        <f t="shared" ca="1" si="167"/>
        <v>863.33031658653965</v>
      </c>
      <c r="Z307" s="164">
        <f t="shared" ca="1" si="168"/>
        <v>180501.46794871823</v>
      </c>
      <c r="AA307" s="272">
        <f t="shared" ca="1" si="185"/>
        <v>0.22</v>
      </c>
      <c r="AB307" s="16">
        <f t="shared" ca="1" si="169"/>
        <v>8916.2298264246674</v>
      </c>
      <c r="AC307" s="16">
        <f t="shared" ca="1" si="170"/>
        <v>8916.2298264246801</v>
      </c>
      <c r="AD307" s="197"/>
      <c r="AE307" s="274">
        <f t="shared" ca="1" si="171"/>
        <v>1.6821425527395739E-3</v>
      </c>
      <c r="AF307" s="166">
        <f t="shared" ca="1" si="172"/>
        <v>0.61474450620188881</v>
      </c>
      <c r="AG307" s="16">
        <f t="shared" ca="1" si="173"/>
        <v>5481.2033018279853</v>
      </c>
      <c r="AH307" s="16">
        <f t="shared" ca="1" si="174"/>
        <v>5481.2033018279926</v>
      </c>
      <c r="AI307" s="168">
        <f t="shared" ca="1" si="175"/>
        <v>49</v>
      </c>
      <c r="AJ307" s="158">
        <f t="shared" ca="1" si="176"/>
        <v>49</v>
      </c>
      <c r="AK307" s="16">
        <f t="shared" ca="1" si="177"/>
        <v>-9116.9424960737124</v>
      </c>
      <c r="AL307" s="168">
        <f t="shared" ca="1" si="186"/>
        <v>9067.9424960737124</v>
      </c>
      <c r="AM307" s="158">
        <f t="shared" ca="1" si="187"/>
        <v>9105.4785967948665</v>
      </c>
      <c r="AN307" s="158">
        <f t="shared" ca="1" si="188"/>
        <v>8662.582786253899</v>
      </c>
      <c r="AO307" s="169">
        <f t="shared" ca="1" si="189"/>
        <v>23</v>
      </c>
      <c r="AP307" s="169">
        <f t="shared" ca="1" si="190"/>
        <v>22</v>
      </c>
      <c r="AQ307" s="158">
        <f t="shared" ca="1" si="191"/>
        <v>0</v>
      </c>
      <c r="AR307" s="158">
        <f t="shared" ca="1" si="192"/>
        <v>37.536100721154071</v>
      </c>
      <c r="AS307" s="170"/>
      <c r="AT307" s="159"/>
      <c r="AU307" s="159"/>
    </row>
    <row r="308" spans="1:47" x14ac:dyDescent="0.6">
      <c r="A308" s="171" t="str">
        <f t="shared" ca="1" si="158"/>
        <v>Mars 2049</v>
      </c>
      <c r="B308" s="191">
        <v>0</v>
      </c>
      <c r="C308" s="269">
        <f t="shared" ca="1" si="178"/>
        <v>5.4899999999999997E-2</v>
      </c>
      <c r="D308" s="173" t="str">
        <f t="shared" ca="1" si="179"/>
        <v/>
      </c>
      <c r="E308" s="174" t="str">
        <f t="shared" ca="1" si="180"/>
        <v/>
      </c>
      <c r="F308" s="175">
        <f t="shared" ca="1" si="181"/>
        <v>49</v>
      </c>
      <c r="G308" s="10">
        <v>291</v>
      </c>
      <c r="H308" s="176">
        <f t="shared" ca="1" si="182"/>
        <v>22</v>
      </c>
      <c r="I308" s="12">
        <f t="shared" ca="1" si="183"/>
        <v>9030.4063953525583</v>
      </c>
      <c r="J308" s="12">
        <f t="shared" ca="1" si="159"/>
        <v>825.7942158654123</v>
      </c>
      <c r="K308" s="177">
        <f t="shared" ca="1" si="160"/>
        <v>8204.6121794871469</v>
      </c>
      <c r="L308" s="177">
        <f t="shared" ca="1" si="161"/>
        <v>172296.85576923683</v>
      </c>
      <c r="M308" s="11">
        <f t="shared" ca="1" si="162"/>
        <v>-2.6375346351414919E-11</v>
      </c>
      <c r="N308" s="12">
        <f ca="1">IF(Y308=0, 0, ROUND(SUM(Y$17:Y308)-SUM(J$17:J308),0))</f>
        <v>0</v>
      </c>
      <c r="O308" s="12" t="str">
        <f t="shared" ca="1" si="163"/>
        <v/>
      </c>
      <c r="P308" s="12">
        <f t="shared" ca="1" si="164"/>
        <v>4820000</v>
      </c>
      <c r="Q308" s="178">
        <f t="shared" ca="1" si="194"/>
        <v>5000000</v>
      </c>
      <c r="R308" s="178">
        <f t="shared" ca="1" si="194"/>
        <v>0</v>
      </c>
      <c r="S308" s="178">
        <f t="shared" ca="1" si="194"/>
        <v>358488</v>
      </c>
      <c r="T308" s="178">
        <f t="shared" ca="1" si="194"/>
        <v>628000</v>
      </c>
      <c r="U308" s="179" t="str">
        <f t="shared" ca="1" si="165"/>
        <v/>
      </c>
      <c r="V308" s="180">
        <f t="shared" ca="1" si="157"/>
        <v>0.85</v>
      </c>
      <c r="W308" s="181">
        <f t="shared" ca="1" si="184"/>
        <v>22</v>
      </c>
      <c r="X308" s="177">
        <f t="shared" ca="1" si="166"/>
        <v>9030.4063953525656</v>
      </c>
      <c r="Y308" s="12">
        <f t="shared" ca="1" si="167"/>
        <v>825.79421586538592</v>
      </c>
      <c r="Z308" s="182">
        <f t="shared" ca="1" si="168"/>
        <v>172296.85576923104</v>
      </c>
      <c r="AA308" s="271">
        <f t="shared" ca="1" si="185"/>
        <v>0.22</v>
      </c>
      <c r="AB308" s="12">
        <f t="shared" ca="1" si="169"/>
        <v>8886.9516678621694</v>
      </c>
      <c r="AC308" s="12">
        <f t="shared" ca="1" si="170"/>
        <v>8886.9516678621803</v>
      </c>
      <c r="AD308" s="199"/>
      <c r="AE308" s="273">
        <f t="shared" ca="1" si="171"/>
        <v>1.6821425527395739E-3</v>
      </c>
      <c r="AF308" s="184">
        <f t="shared" ca="1" si="172"/>
        <v>0.61371041830894368</v>
      </c>
      <c r="AG308" s="12">
        <f t="shared" ca="1" si="173"/>
        <v>5454.0148255750564</v>
      </c>
      <c r="AH308" s="12">
        <f t="shared" ca="1" si="174"/>
        <v>5454.0148255750637</v>
      </c>
      <c r="AI308" s="185">
        <f t="shared" ca="1" si="175"/>
        <v>49</v>
      </c>
      <c r="AJ308" s="177">
        <f t="shared" ca="1" si="176"/>
        <v>49</v>
      </c>
      <c r="AK308" s="12">
        <f t="shared" ca="1" si="177"/>
        <v>-9079.4063953525583</v>
      </c>
      <c r="AL308" s="185">
        <f t="shared" ca="1" si="186"/>
        <v>9030.4063953525583</v>
      </c>
      <c r="AM308" s="177">
        <f t="shared" ca="1" si="187"/>
        <v>9067.9424960737124</v>
      </c>
      <c r="AN308" s="177">
        <f t="shared" ca="1" si="188"/>
        <v>8643.1724517188541</v>
      </c>
      <c r="AO308" s="196">
        <f t="shared" ca="1" si="189"/>
        <v>22</v>
      </c>
      <c r="AP308" s="196">
        <f t="shared" ca="1" si="190"/>
        <v>21</v>
      </c>
      <c r="AQ308" s="177">
        <f t="shared" ca="1" si="191"/>
        <v>0</v>
      </c>
      <c r="AR308" s="177">
        <f t="shared" ca="1" si="192"/>
        <v>37.536100721154071</v>
      </c>
      <c r="AS308" s="189"/>
      <c r="AT308" s="190"/>
      <c r="AU308" s="190"/>
    </row>
    <row r="309" spans="1:47" x14ac:dyDescent="0.6">
      <c r="A309" s="152" t="str">
        <f t="shared" ca="1" si="158"/>
        <v>April 2049</v>
      </c>
      <c r="B309" s="191">
        <v>0</v>
      </c>
      <c r="C309" s="270">
        <f t="shared" ca="1" si="178"/>
        <v>5.4899999999999997E-2</v>
      </c>
      <c r="D309" s="192" t="str">
        <f t="shared" ca="1" si="179"/>
        <v/>
      </c>
      <c r="E309" s="193" t="str">
        <f t="shared" ca="1" si="180"/>
        <v/>
      </c>
      <c r="F309" s="194">
        <f t="shared" ca="1" si="181"/>
        <v>49</v>
      </c>
      <c r="G309" s="14">
        <v>292</v>
      </c>
      <c r="H309" s="157">
        <f t="shared" ca="1" si="182"/>
        <v>21</v>
      </c>
      <c r="I309" s="16">
        <f t="shared" ca="1" si="183"/>
        <v>8992.8702946314061</v>
      </c>
      <c r="J309" s="16">
        <f t="shared" ca="1" si="159"/>
        <v>788.25811514425857</v>
      </c>
      <c r="K309" s="158">
        <f t="shared" ca="1" si="160"/>
        <v>8204.6121794871469</v>
      </c>
      <c r="L309" s="158">
        <f t="shared" ca="1" si="161"/>
        <v>164092.24358974968</v>
      </c>
      <c r="M309" s="15">
        <f t="shared" ca="1" si="162"/>
        <v>-2.6602720026858151E-11</v>
      </c>
      <c r="N309" s="16">
        <f ca="1">IF(Y309=0, 0, ROUND(SUM(Y$17:Y309)-SUM(J$17:J309),0))</f>
        <v>0</v>
      </c>
      <c r="O309" s="16" t="str">
        <f t="shared" ca="1" si="163"/>
        <v/>
      </c>
      <c r="P309" s="16">
        <f t="shared" ca="1" si="164"/>
        <v>4830000</v>
      </c>
      <c r="Q309" s="160">
        <f t="shared" ca="1" si="194"/>
        <v>5000000</v>
      </c>
      <c r="R309" s="160">
        <f t="shared" ca="1" si="194"/>
        <v>0</v>
      </c>
      <c r="S309" s="160">
        <f t="shared" ca="1" si="194"/>
        <v>358488</v>
      </c>
      <c r="T309" s="160">
        <f t="shared" ca="1" si="194"/>
        <v>628000</v>
      </c>
      <c r="U309" s="161" t="str">
        <f t="shared" ca="1" si="165"/>
        <v/>
      </c>
      <c r="V309" s="162">
        <f t="shared" ca="1" si="157"/>
        <v>0.84</v>
      </c>
      <c r="W309" s="195">
        <f t="shared" ca="1" si="184"/>
        <v>21</v>
      </c>
      <c r="X309" s="158">
        <f t="shared" ca="1" si="166"/>
        <v>8992.8702946314115</v>
      </c>
      <c r="Y309" s="16">
        <f t="shared" ca="1" si="167"/>
        <v>788.25811514423197</v>
      </c>
      <c r="Z309" s="164">
        <f t="shared" ca="1" si="168"/>
        <v>164092.24358974388</v>
      </c>
      <c r="AA309" s="272">
        <f t="shared" ca="1" si="185"/>
        <v>0.22</v>
      </c>
      <c r="AB309" s="16">
        <f t="shared" ca="1" si="169"/>
        <v>8857.6735092996678</v>
      </c>
      <c r="AC309" s="16">
        <f t="shared" ca="1" si="170"/>
        <v>8857.6735092996805</v>
      </c>
      <c r="AD309" s="197"/>
      <c r="AE309" s="274">
        <f t="shared" ca="1" si="171"/>
        <v>1.6821425527395739E-3</v>
      </c>
      <c r="AF309" s="166">
        <f t="shared" ca="1" si="172"/>
        <v>0.61267806989924656</v>
      </c>
      <c r="AG309" s="16">
        <f t="shared" ca="1" si="173"/>
        <v>5426.9023094754066</v>
      </c>
      <c r="AH309" s="16">
        <f t="shared" ca="1" si="174"/>
        <v>5426.9023094754139</v>
      </c>
      <c r="AI309" s="168">
        <f t="shared" ca="1" si="175"/>
        <v>49</v>
      </c>
      <c r="AJ309" s="158">
        <f t="shared" ca="1" si="176"/>
        <v>49</v>
      </c>
      <c r="AK309" s="16">
        <f t="shared" ca="1" si="177"/>
        <v>-9041.8702946314061</v>
      </c>
      <c r="AL309" s="168">
        <f t="shared" ca="1" si="186"/>
        <v>8992.8702946314061</v>
      </c>
      <c r="AM309" s="158">
        <f t="shared" ca="1" si="187"/>
        <v>9030.4063953525583</v>
      </c>
      <c r="AN309" s="158">
        <f t="shared" ca="1" si="188"/>
        <v>8623.7906443991942</v>
      </c>
      <c r="AO309" s="169">
        <f t="shared" ca="1" si="189"/>
        <v>21</v>
      </c>
      <c r="AP309" s="169">
        <f t="shared" ca="1" si="190"/>
        <v>21</v>
      </c>
      <c r="AQ309" s="158">
        <f t="shared" ca="1" si="191"/>
        <v>0</v>
      </c>
      <c r="AR309" s="158">
        <f t="shared" ca="1" si="192"/>
        <v>37.536100721152252</v>
      </c>
      <c r="AS309" s="170"/>
      <c r="AT309" s="159"/>
      <c r="AU309" s="159"/>
    </row>
    <row r="310" spans="1:47" x14ac:dyDescent="0.6">
      <c r="A310" s="171" t="str">
        <f t="shared" ca="1" si="158"/>
        <v>Mai 2049</v>
      </c>
      <c r="B310" s="191">
        <v>0</v>
      </c>
      <c r="C310" s="269">
        <f t="shared" ca="1" si="178"/>
        <v>5.4899999999999997E-2</v>
      </c>
      <c r="D310" s="173" t="str">
        <f t="shared" ca="1" si="179"/>
        <v/>
      </c>
      <c r="E310" s="174" t="str">
        <f t="shared" ca="1" si="180"/>
        <v/>
      </c>
      <c r="F310" s="175">
        <f t="shared" ca="1" si="181"/>
        <v>49</v>
      </c>
      <c r="G310" s="10">
        <v>293</v>
      </c>
      <c r="H310" s="176">
        <f t="shared" ca="1" si="182"/>
        <v>20</v>
      </c>
      <c r="I310" s="12">
        <f t="shared" ca="1" si="183"/>
        <v>8955.334193910252</v>
      </c>
      <c r="J310" s="12">
        <f t="shared" ca="1" si="159"/>
        <v>750.72201442310472</v>
      </c>
      <c r="K310" s="177">
        <f t="shared" ca="1" si="160"/>
        <v>8204.6121794871469</v>
      </c>
      <c r="L310" s="177">
        <f t="shared" ca="1" si="161"/>
        <v>155887.63141026252</v>
      </c>
      <c r="M310" s="11">
        <f t="shared" ca="1" si="162"/>
        <v>-2.6489033189136535E-11</v>
      </c>
      <c r="N310" s="12">
        <f ca="1">IF(Y310=0, 0, ROUND(SUM(Y$17:Y310)-SUM(J$17:J310),0))</f>
        <v>0</v>
      </c>
      <c r="O310" s="12" t="str">
        <f t="shared" ca="1" si="163"/>
        <v/>
      </c>
      <c r="P310" s="12">
        <f t="shared" ca="1" si="164"/>
        <v>4840000</v>
      </c>
      <c r="Q310" s="178">
        <f t="shared" ca="1" si="194"/>
        <v>5000000</v>
      </c>
      <c r="R310" s="178">
        <f t="shared" ca="1" si="194"/>
        <v>0</v>
      </c>
      <c r="S310" s="178">
        <f t="shared" ca="1" si="194"/>
        <v>358488</v>
      </c>
      <c r="T310" s="178">
        <f t="shared" ca="1" si="194"/>
        <v>628000</v>
      </c>
      <c r="U310" s="179" t="str">
        <f t="shared" ca="1" si="165"/>
        <v/>
      </c>
      <c r="V310" s="180">
        <f t="shared" ca="1" si="157"/>
        <v>0.82000000000000006</v>
      </c>
      <c r="W310" s="181">
        <f t="shared" ca="1" si="184"/>
        <v>20</v>
      </c>
      <c r="X310" s="177">
        <f t="shared" ca="1" si="166"/>
        <v>8955.3341939102575</v>
      </c>
      <c r="Y310" s="12">
        <f t="shared" ca="1" si="167"/>
        <v>750.72201442307824</v>
      </c>
      <c r="Z310" s="182">
        <f t="shared" ca="1" si="168"/>
        <v>155887.6314102567</v>
      </c>
      <c r="AA310" s="271">
        <f t="shared" ca="1" si="185"/>
        <v>0.22</v>
      </c>
      <c r="AB310" s="12">
        <f t="shared" ca="1" si="169"/>
        <v>8828.395350737168</v>
      </c>
      <c r="AC310" s="12">
        <f t="shared" ca="1" si="170"/>
        <v>8828.3953507371807</v>
      </c>
      <c r="AD310" s="199"/>
      <c r="AE310" s="273">
        <f t="shared" ca="1" si="171"/>
        <v>1.6821425527395739E-3</v>
      </c>
      <c r="AF310" s="184">
        <f t="shared" ca="1" si="172"/>
        <v>0.6116474580467387</v>
      </c>
      <c r="AG310" s="12">
        <f t="shared" ca="1" si="173"/>
        <v>5399.8655749100353</v>
      </c>
      <c r="AH310" s="12">
        <f t="shared" ca="1" si="174"/>
        <v>5399.8655749100426</v>
      </c>
      <c r="AI310" s="185">
        <f t="shared" ca="1" si="175"/>
        <v>49</v>
      </c>
      <c r="AJ310" s="177">
        <f t="shared" ca="1" si="176"/>
        <v>49</v>
      </c>
      <c r="AK310" s="12">
        <f t="shared" ca="1" si="177"/>
        <v>-9004.334193910252</v>
      </c>
      <c r="AL310" s="185">
        <f t="shared" ca="1" si="186"/>
        <v>8955.334193910252</v>
      </c>
      <c r="AM310" s="177">
        <f t="shared" ca="1" si="187"/>
        <v>8992.8702946314061</v>
      </c>
      <c r="AN310" s="177">
        <f t="shared" ca="1" si="188"/>
        <v>8604.4373668503686</v>
      </c>
      <c r="AO310" s="196">
        <f t="shared" ca="1" si="189"/>
        <v>20</v>
      </c>
      <c r="AP310" s="196">
        <f t="shared" ca="1" si="190"/>
        <v>20</v>
      </c>
      <c r="AQ310" s="177">
        <f t="shared" ca="1" si="191"/>
        <v>0</v>
      </c>
      <c r="AR310" s="177">
        <f t="shared" ca="1" si="192"/>
        <v>37.536100721154071</v>
      </c>
      <c r="AS310" s="189"/>
      <c r="AT310" s="190"/>
      <c r="AU310" s="190"/>
    </row>
    <row r="311" spans="1:47" x14ac:dyDescent="0.6">
      <c r="A311" s="152" t="str">
        <f t="shared" ca="1" si="158"/>
        <v>Juni 2049</v>
      </c>
      <c r="B311" s="191">
        <v>0</v>
      </c>
      <c r="C311" s="270">
        <f t="shared" ca="1" si="178"/>
        <v>5.4899999999999997E-2</v>
      </c>
      <c r="D311" s="192" t="str">
        <f t="shared" ca="1" si="179"/>
        <v/>
      </c>
      <c r="E311" s="193" t="str">
        <f t="shared" ca="1" si="180"/>
        <v/>
      </c>
      <c r="F311" s="194">
        <f t="shared" ca="1" si="181"/>
        <v>49</v>
      </c>
      <c r="G311" s="14">
        <v>294</v>
      </c>
      <c r="H311" s="157">
        <f t="shared" ca="1" si="182"/>
        <v>19</v>
      </c>
      <c r="I311" s="16">
        <f t="shared" ca="1" si="183"/>
        <v>8917.7980931890979</v>
      </c>
      <c r="J311" s="16">
        <f t="shared" ca="1" si="159"/>
        <v>713.18591370195099</v>
      </c>
      <c r="K311" s="158">
        <f t="shared" ca="1" si="160"/>
        <v>8204.6121794871469</v>
      </c>
      <c r="L311" s="158">
        <f t="shared" ca="1" si="161"/>
        <v>147683.01923077536</v>
      </c>
      <c r="M311" s="15">
        <f t="shared" ca="1" si="162"/>
        <v>-2.6716406864579767E-11</v>
      </c>
      <c r="N311" s="16">
        <f ca="1">IF(Y311=0, 0, ROUND(SUM(Y$17:Y311)-SUM(J$17:J311),0))</f>
        <v>0</v>
      </c>
      <c r="O311" s="16" t="str">
        <f t="shared" ca="1" si="163"/>
        <v/>
      </c>
      <c r="P311" s="16">
        <f t="shared" ca="1" si="164"/>
        <v>4850000</v>
      </c>
      <c r="Q311" s="160">
        <f t="shared" ca="1" si="194"/>
        <v>5000000</v>
      </c>
      <c r="R311" s="160">
        <f t="shared" ca="1" si="194"/>
        <v>0</v>
      </c>
      <c r="S311" s="160">
        <f t="shared" ca="1" si="194"/>
        <v>358488</v>
      </c>
      <c r="T311" s="160">
        <f t="shared" ca="1" si="194"/>
        <v>628000</v>
      </c>
      <c r="U311" s="161" t="str">
        <f t="shared" ca="1" si="165"/>
        <v/>
      </c>
      <c r="V311" s="162">
        <f t="shared" ca="1" si="157"/>
        <v>0.81</v>
      </c>
      <c r="W311" s="195">
        <f t="shared" ca="1" si="184"/>
        <v>19</v>
      </c>
      <c r="X311" s="158">
        <f t="shared" ca="1" si="166"/>
        <v>8917.7980931891034</v>
      </c>
      <c r="Y311" s="16">
        <f t="shared" ca="1" si="167"/>
        <v>713.18591370192428</v>
      </c>
      <c r="Z311" s="164">
        <f t="shared" ca="1" si="168"/>
        <v>147683.01923076951</v>
      </c>
      <c r="AA311" s="272">
        <f t="shared" ca="1" si="185"/>
        <v>0.22</v>
      </c>
      <c r="AB311" s="16">
        <f t="shared" ca="1" si="169"/>
        <v>8799.1171921746682</v>
      </c>
      <c r="AC311" s="16">
        <f t="shared" ca="1" si="170"/>
        <v>8799.1171921746809</v>
      </c>
      <c r="AD311" s="197"/>
      <c r="AE311" s="274">
        <f t="shared" ca="1" si="171"/>
        <v>1.6821425527395739E-3</v>
      </c>
      <c r="AF311" s="166">
        <f t="shared" ca="1" si="172"/>
        <v>0.61061857983028334</v>
      </c>
      <c r="AG311" s="16">
        <f t="shared" ca="1" si="173"/>
        <v>5372.9044436459262</v>
      </c>
      <c r="AH311" s="16">
        <f t="shared" ca="1" si="174"/>
        <v>5372.9044436459335</v>
      </c>
      <c r="AI311" s="168">
        <f t="shared" ca="1" si="175"/>
        <v>49</v>
      </c>
      <c r="AJ311" s="158">
        <f t="shared" ca="1" si="176"/>
        <v>49</v>
      </c>
      <c r="AK311" s="16">
        <f t="shared" ca="1" si="177"/>
        <v>-8966.7980931890979</v>
      </c>
      <c r="AL311" s="168">
        <f t="shared" ca="1" si="186"/>
        <v>8917.7980931890979</v>
      </c>
      <c r="AM311" s="158">
        <f t="shared" ca="1" si="187"/>
        <v>8955.334193910252</v>
      </c>
      <c r="AN311" s="158">
        <f t="shared" ca="1" si="188"/>
        <v>8585.1126215092117</v>
      </c>
      <c r="AO311" s="169">
        <f t="shared" ca="1" si="189"/>
        <v>19</v>
      </c>
      <c r="AP311" s="169">
        <f t="shared" ca="1" si="190"/>
        <v>19</v>
      </c>
      <c r="AQ311" s="158">
        <f t="shared" ca="1" si="191"/>
        <v>0</v>
      </c>
      <c r="AR311" s="158">
        <f t="shared" ca="1" si="192"/>
        <v>37.536100721154071</v>
      </c>
      <c r="AS311" s="170"/>
      <c r="AT311" s="159"/>
      <c r="AU311" s="159"/>
    </row>
    <row r="312" spans="1:47" x14ac:dyDescent="0.6">
      <c r="A312" s="171" t="str">
        <f t="shared" ca="1" si="158"/>
        <v>Juli 2049</v>
      </c>
      <c r="B312" s="191">
        <v>0</v>
      </c>
      <c r="C312" s="269">
        <f t="shared" ca="1" si="178"/>
        <v>5.4899999999999997E-2</v>
      </c>
      <c r="D312" s="173" t="str">
        <f t="shared" ca="1" si="179"/>
        <v/>
      </c>
      <c r="E312" s="174" t="str">
        <f t="shared" ca="1" si="180"/>
        <v/>
      </c>
      <c r="F312" s="175">
        <f t="shared" ca="1" si="181"/>
        <v>49</v>
      </c>
      <c r="G312" s="10">
        <v>295</v>
      </c>
      <c r="H312" s="176">
        <f t="shared" ca="1" si="182"/>
        <v>18</v>
      </c>
      <c r="I312" s="12">
        <f t="shared" ca="1" si="183"/>
        <v>8880.2619924679439</v>
      </c>
      <c r="J312" s="12">
        <f t="shared" ca="1" si="159"/>
        <v>675.64981298079726</v>
      </c>
      <c r="K312" s="177">
        <f t="shared" ca="1" si="160"/>
        <v>8204.6121794871469</v>
      </c>
      <c r="L312" s="177">
        <f t="shared" ca="1" si="161"/>
        <v>139478.4070512882</v>
      </c>
      <c r="M312" s="11">
        <f t="shared" ca="1" si="162"/>
        <v>-2.6830093702301383E-11</v>
      </c>
      <c r="N312" s="12">
        <f ca="1">IF(Y312=0, 0, ROUND(SUM(Y$17:Y312)-SUM(J$17:J312),0))</f>
        <v>0</v>
      </c>
      <c r="O312" s="12" t="str">
        <f t="shared" ca="1" si="163"/>
        <v/>
      </c>
      <c r="P312" s="12">
        <f t="shared" ca="1" si="164"/>
        <v>4860000</v>
      </c>
      <c r="Q312" s="178">
        <f t="shared" ca="1" si="194"/>
        <v>5000000</v>
      </c>
      <c r="R312" s="178">
        <f t="shared" ca="1" si="194"/>
        <v>0</v>
      </c>
      <c r="S312" s="178">
        <f t="shared" ca="1" si="194"/>
        <v>358488</v>
      </c>
      <c r="T312" s="178">
        <f t="shared" ca="1" si="194"/>
        <v>628000</v>
      </c>
      <c r="U312" s="179" t="str">
        <f t="shared" ca="1" si="165"/>
        <v/>
      </c>
      <c r="V312" s="180">
        <f t="shared" ca="1" si="157"/>
        <v>0.8</v>
      </c>
      <c r="W312" s="181">
        <f t="shared" ca="1" si="184"/>
        <v>18</v>
      </c>
      <c r="X312" s="177">
        <f t="shared" ca="1" si="166"/>
        <v>8880.2619924679493</v>
      </c>
      <c r="Y312" s="12">
        <f t="shared" ca="1" si="167"/>
        <v>675.64981298077043</v>
      </c>
      <c r="Z312" s="182">
        <f t="shared" ca="1" si="168"/>
        <v>139478.40705128232</v>
      </c>
      <c r="AA312" s="271">
        <f t="shared" ca="1" si="185"/>
        <v>0.22</v>
      </c>
      <c r="AB312" s="12">
        <f t="shared" ca="1" si="169"/>
        <v>8769.8390336121684</v>
      </c>
      <c r="AC312" s="12">
        <f t="shared" ca="1" si="170"/>
        <v>8769.8390336121811</v>
      </c>
      <c r="AD312" s="199"/>
      <c r="AE312" s="273">
        <f t="shared" ca="1" si="171"/>
        <v>1.6821425527395739E-3</v>
      </c>
      <c r="AF312" s="184">
        <f t="shared" ca="1" si="172"/>
        <v>0.60959143233365742</v>
      </c>
      <c r="AG312" s="12">
        <f t="shared" ca="1" si="173"/>
        <v>5346.0187378352593</v>
      </c>
      <c r="AH312" s="12">
        <f t="shared" ca="1" si="174"/>
        <v>5346.0187378352675</v>
      </c>
      <c r="AI312" s="185">
        <f t="shared" ca="1" si="175"/>
        <v>49</v>
      </c>
      <c r="AJ312" s="177">
        <f t="shared" ca="1" si="176"/>
        <v>49</v>
      </c>
      <c r="AK312" s="12">
        <f t="shared" ca="1" si="177"/>
        <v>-8929.2619924679439</v>
      </c>
      <c r="AL312" s="185">
        <f t="shared" ca="1" si="186"/>
        <v>8880.2619924679439</v>
      </c>
      <c r="AM312" s="177">
        <f t="shared" ca="1" si="187"/>
        <v>8917.7980931890979</v>
      </c>
      <c r="AN312" s="177">
        <f t="shared" ca="1" si="188"/>
        <v>8565.8164106939257</v>
      </c>
      <c r="AO312" s="196">
        <f t="shared" ca="1" si="189"/>
        <v>18</v>
      </c>
      <c r="AP312" s="196">
        <f t="shared" ca="1" si="190"/>
        <v>18</v>
      </c>
      <c r="AQ312" s="177">
        <f t="shared" ca="1" si="191"/>
        <v>0</v>
      </c>
      <c r="AR312" s="177">
        <f t="shared" ca="1" si="192"/>
        <v>37.536100721154071</v>
      </c>
      <c r="AS312" s="189"/>
      <c r="AT312" s="190"/>
      <c r="AU312" s="190"/>
    </row>
    <row r="313" spans="1:47" x14ac:dyDescent="0.6">
      <c r="A313" s="152" t="str">
        <f t="shared" ca="1" si="158"/>
        <v>August 2049</v>
      </c>
      <c r="B313" s="191">
        <v>0</v>
      </c>
      <c r="C313" s="270">
        <f t="shared" ca="1" si="178"/>
        <v>5.4899999999999997E-2</v>
      </c>
      <c r="D313" s="192" t="str">
        <f t="shared" ca="1" si="179"/>
        <v/>
      </c>
      <c r="E313" s="193" t="str">
        <f t="shared" ca="1" si="180"/>
        <v/>
      </c>
      <c r="F313" s="194">
        <f t="shared" ca="1" si="181"/>
        <v>49</v>
      </c>
      <c r="G313" s="14">
        <v>296</v>
      </c>
      <c r="H313" s="157">
        <f t="shared" ca="1" si="182"/>
        <v>17</v>
      </c>
      <c r="I313" s="16">
        <f t="shared" ca="1" si="183"/>
        <v>8842.7258917467898</v>
      </c>
      <c r="J313" s="16">
        <f t="shared" ca="1" si="159"/>
        <v>638.11371225964353</v>
      </c>
      <c r="K313" s="158">
        <f t="shared" ca="1" si="160"/>
        <v>8204.6121794871469</v>
      </c>
      <c r="L313" s="158">
        <f t="shared" ca="1" si="161"/>
        <v>131273.79487180104</v>
      </c>
      <c r="M313" s="15">
        <f t="shared" ca="1" si="162"/>
        <v>-2.6943780540022999E-11</v>
      </c>
      <c r="N313" s="16">
        <f ca="1">IF(Y313=0, 0, ROUND(SUM(Y$17:Y313)-SUM(J$17:J313),0))</f>
        <v>0</v>
      </c>
      <c r="O313" s="16" t="str">
        <f t="shared" ca="1" si="163"/>
        <v/>
      </c>
      <c r="P313" s="16" t="str">
        <f t="shared" ca="1" si="164"/>
        <v/>
      </c>
      <c r="Q313" s="160">
        <f t="shared" ca="1" si="194"/>
        <v>5000000</v>
      </c>
      <c r="R313" s="160">
        <f t="shared" ca="1" si="194"/>
        <v>0</v>
      </c>
      <c r="S313" s="160">
        <f t="shared" ca="1" si="194"/>
        <v>358488</v>
      </c>
      <c r="T313" s="160">
        <f t="shared" ca="1" si="194"/>
        <v>628000</v>
      </c>
      <c r="U313" s="161" t="str">
        <f t="shared" ca="1" si="165"/>
        <v/>
      </c>
      <c r="V313" s="162">
        <f t="shared" ca="1" si="157"/>
        <v>0.78</v>
      </c>
      <c r="W313" s="195">
        <f t="shared" ca="1" si="184"/>
        <v>17</v>
      </c>
      <c r="X313" s="158">
        <f t="shared" ca="1" si="166"/>
        <v>8842.7258917467971</v>
      </c>
      <c r="Y313" s="16">
        <f t="shared" ca="1" si="167"/>
        <v>638.11371225961659</v>
      </c>
      <c r="Z313" s="164">
        <f t="shared" ca="1" si="168"/>
        <v>131273.79487179517</v>
      </c>
      <c r="AA313" s="272">
        <f t="shared" ca="1" si="185"/>
        <v>0.22</v>
      </c>
      <c r="AB313" s="16">
        <f t="shared" ca="1" si="169"/>
        <v>8740.5608750496685</v>
      </c>
      <c r="AC313" s="16">
        <f t="shared" ca="1" si="170"/>
        <v>8740.5608750496813</v>
      </c>
      <c r="AD313" s="197"/>
      <c r="AE313" s="274">
        <f t="shared" ca="1" si="171"/>
        <v>1.6821425527395739E-3</v>
      </c>
      <c r="AF313" s="166">
        <f t="shared" ca="1" si="172"/>
        <v>0.60856601264554355</v>
      </c>
      <c r="AG313" s="16">
        <f t="shared" ca="1" si="173"/>
        <v>5319.20828001462</v>
      </c>
      <c r="AH313" s="16">
        <f t="shared" ca="1" si="174"/>
        <v>5319.2082800146272</v>
      </c>
      <c r="AI313" s="168">
        <f t="shared" ca="1" si="175"/>
        <v>49</v>
      </c>
      <c r="AJ313" s="158">
        <f t="shared" ca="1" si="176"/>
        <v>49</v>
      </c>
      <c r="AK313" s="16">
        <f t="shared" ca="1" si="177"/>
        <v>-8891.7258917467898</v>
      </c>
      <c r="AL313" s="168">
        <f t="shared" ca="1" si="186"/>
        <v>8842.7258917467898</v>
      </c>
      <c r="AM313" s="158">
        <f t="shared" ca="1" si="187"/>
        <v>8880.2619924679439</v>
      </c>
      <c r="AN313" s="158">
        <f t="shared" ca="1" si="188"/>
        <v>8546.5487366040325</v>
      </c>
      <c r="AO313" s="169">
        <f t="shared" ca="1" si="189"/>
        <v>17</v>
      </c>
      <c r="AP313" s="169">
        <f t="shared" ca="1" si="190"/>
        <v>17</v>
      </c>
      <c r="AQ313" s="158">
        <f t="shared" ca="1" si="191"/>
        <v>0</v>
      </c>
      <c r="AR313" s="158">
        <f t="shared" ca="1" si="192"/>
        <v>37.536100721154071</v>
      </c>
      <c r="AS313" s="170"/>
      <c r="AT313" s="159"/>
      <c r="AU313" s="159"/>
    </row>
    <row r="314" spans="1:47" x14ac:dyDescent="0.6">
      <c r="A314" s="171" t="str">
        <f t="shared" ca="1" si="158"/>
        <v>September 2049</v>
      </c>
      <c r="B314" s="191">
        <v>0</v>
      </c>
      <c r="C314" s="269">
        <f t="shared" ca="1" si="178"/>
        <v>5.4899999999999997E-2</v>
      </c>
      <c r="D314" s="173" t="str">
        <f t="shared" ca="1" si="179"/>
        <v/>
      </c>
      <c r="E314" s="174" t="str">
        <f t="shared" ca="1" si="180"/>
        <v/>
      </c>
      <c r="F314" s="175">
        <f t="shared" ca="1" si="181"/>
        <v>49</v>
      </c>
      <c r="G314" s="10">
        <v>297</v>
      </c>
      <c r="H314" s="176">
        <f t="shared" ca="1" si="182"/>
        <v>16</v>
      </c>
      <c r="I314" s="12">
        <f t="shared" ca="1" si="183"/>
        <v>8805.1897910256375</v>
      </c>
      <c r="J314" s="12">
        <f t="shared" ca="1" si="159"/>
        <v>600.5776115384898</v>
      </c>
      <c r="K314" s="177">
        <f t="shared" ca="1" si="160"/>
        <v>8204.6121794871469</v>
      </c>
      <c r="L314" s="177">
        <f t="shared" ca="1" si="161"/>
        <v>123069.1826923139</v>
      </c>
      <c r="M314" s="11">
        <f t="shared" ca="1" si="162"/>
        <v>-2.6943780540022999E-11</v>
      </c>
      <c r="N314" s="12">
        <f ca="1">IF(Y314=0, 0, ROUND(SUM(Y$17:Y314)-SUM(J$17:J314),0))</f>
        <v>0</v>
      </c>
      <c r="O314" s="12" t="str">
        <f t="shared" ca="1" si="163"/>
        <v/>
      </c>
      <c r="P314" s="12">
        <f t="shared" ca="1" si="164"/>
        <v>4870000</v>
      </c>
      <c r="Q314" s="178">
        <f t="shared" ca="1" si="194"/>
        <v>5000000</v>
      </c>
      <c r="R314" s="178">
        <f t="shared" ca="1" si="194"/>
        <v>0</v>
      </c>
      <c r="S314" s="178">
        <f t="shared" ca="1" si="194"/>
        <v>358488</v>
      </c>
      <c r="T314" s="178">
        <f t="shared" ca="1" si="194"/>
        <v>628000</v>
      </c>
      <c r="U314" s="179" t="str">
        <f t="shared" ca="1" si="165"/>
        <v/>
      </c>
      <c r="V314" s="180">
        <f t="shared" ca="1" si="157"/>
        <v>0.77</v>
      </c>
      <c r="W314" s="181">
        <f t="shared" ca="1" si="184"/>
        <v>16</v>
      </c>
      <c r="X314" s="177">
        <f t="shared" ca="1" si="166"/>
        <v>8805.189791025643</v>
      </c>
      <c r="Y314" s="12">
        <f t="shared" ca="1" si="167"/>
        <v>600.57761153846286</v>
      </c>
      <c r="Z314" s="182">
        <f t="shared" ca="1" si="168"/>
        <v>123069.18269230799</v>
      </c>
      <c r="AA314" s="271">
        <f t="shared" ca="1" si="185"/>
        <v>0.22</v>
      </c>
      <c r="AB314" s="12">
        <f t="shared" ca="1" si="169"/>
        <v>8711.2827164871687</v>
      </c>
      <c r="AC314" s="12">
        <f t="shared" ca="1" si="170"/>
        <v>8711.2827164871815</v>
      </c>
      <c r="AD314" s="199"/>
      <c r="AE314" s="273">
        <f t="shared" ca="1" si="171"/>
        <v>1.6821425527395739E-3</v>
      </c>
      <c r="AF314" s="184">
        <f t="shared" ca="1" si="172"/>
        <v>0.6075423178595214</v>
      </c>
      <c r="AG314" s="12">
        <f t="shared" ca="1" si="173"/>
        <v>5292.4728931042027</v>
      </c>
      <c r="AH314" s="12">
        <f t="shared" ca="1" si="174"/>
        <v>5292.47289310421</v>
      </c>
      <c r="AI314" s="185">
        <f t="shared" ca="1" si="175"/>
        <v>49</v>
      </c>
      <c r="AJ314" s="177">
        <f t="shared" ca="1" si="176"/>
        <v>49</v>
      </c>
      <c r="AK314" s="12">
        <f t="shared" ca="1" si="177"/>
        <v>-8854.1897910256375</v>
      </c>
      <c r="AL314" s="185">
        <f t="shared" ca="1" si="186"/>
        <v>8805.1897910256375</v>
      </c>
      <c r="AM314" s="177">
        <f t="shared" ca="1" si="187"/>
        <v>8842.7258917467898</v>
      </c>
      <c r="AN314" s="177">
        <f t="shared" ca="1" si="188"/>
        <v>8527.3096013203522</v>
      </c>
      <c r="AO314" s="196">
        <f t="shared" ca="1" si="189"/>
        <v>16</v>
      </c>
      <c r="AP314" s="196">
        <f t="shared" ca="1" si="190"/>
        <v>16</v>
      </c>
      <c r="AQ314" s="177">
        <f t="shared" ca="1" si="191"/>
        <v>0</v>
      </c>
      <c r="AR314" s="177">
        <f t="shared" ca="1" si="192"/>
        <v>37.536100721152252</v>
      </c>
      <c r="AS314" s="189"/>
      <c r="AT314" s="190"/>
      <c r="AU314" s="190"/>
    </row>
    <row r="315" spans="1:47" x14ac:dyDescent="0.6">
      <c r="A315" s="152" t="str">
        <f t="shared" ca="1" si="158"/>
        <v>Oktober 2049</v>
      </c>
      <c r="B315" s="191">
        <v>0</v>
      </c>
      <c r="C315" s="270">
        <f t="shared" ca="1" si="178"/>
        <v>5.4899999999999997E-2</v>
      </c>
      <c r="D315" s="192" t="str">
        <f t="shared" ca="1" si="179"/>
        <v/>
      </c>
      <c r="E315" s="193" t="str">
        <f t="shared" ca="1" si="180"/>
        <v/>
      </c>
      <c r="F315" s="194">
        <f t="shared" ca="1" si="181"/>
        <v>49</v>
      </c>
      <c r="G315" s="14">
        <v>298</v>
      </c>
      <c r="H315" s="157">
        <f t="shared" ca="1" si="182"/>
        <v>15</v>
      </c>
      <c r="I315" s="16">
        <f t="shared" ca="1" si="183"/>
        <v>8767.6536903044835</v>
      </c>
      <c r="J315" s="16">
        <f t="shared" ca="1" si="159"/>
        <v>563.04151081733607</v>
      </c>
      <c r="K315" s="158">
        <f t="shared" ca="1" si="160"/>
        <v>8204.6121794871469</v>
      </c>
      <c r="L315" s="158">
        <f t="shared" ca="1" si="161"/>
        <v>114864.57051282676</v>
      </c>
      <c r="M315" s="15">
        <f t="shared" ca="1" si="162"/>
        <v>-2.7057467377744615E-11</v>
      </c>
      <c r="N315" s="16">
        <f ca="1">IF(Y315=0, 0, ROUND(SUM(Y$17:Y315)-SUM(J$17:J315),0))</f>
        <v>0</v>
      </c>
      <c r="O315" s="16" t="str">
        <f t="shared" ca="1" si="163"/>
        <v/>
      </c>
      <c r="P315" s="16">
        <f t="shared" ca="1" si="164"/>
        <v>4880000</v>
      </c>
      <c r="Q315" s="160">
        <f t="shared" ca="1" si="194"/>
        <v>5000000</v>
      </c>
      <c r="R315" s="160">
        <f t="shared" ca="1" si="194"/>
        <v>0</v>
      </c>
      <c r="S315" s="160">
        <f t="shared" ca="1" si="194"/>
        <v>358488</v>
      </c>
      <c r="T315" s="160">
        <f t="shared" ca="1" si="194"/>
        <v>628000</v>
      </c>
      <c r="U315" s="161" t="str">
        <f t="shared" ca="1" si="165"/>
        <v/>
      </c>
      <c r="V315" s="162">
        <f t="shared" ca="1" si="157"/>
        <v>0.76</v>
      </c>
      <c r="W315" s="195">
        <f t="shared" ca="1" si="184"/>
        <v>15</v>
      </c>
      <c r="X315" s="158">
        <f t="shared" ca="1" si="166"/>
        <v>8767.6536903044889</v>
      </c>
      <c r="Y315" s="16">
        <f t="shared" ca="1" si="167"/>
        <v>563.04151081730902</v>
      </c>
      <c r="Z315" s="164">
        <f t="shared" ca="1" si="168"/>
        <v>114864.57051282081</v>
      </c>
      <c r="AA315" s="272">
        <f t="shared" ca="1" si="185"/>
        <v>0.22</v>
      </c>
      <c r="AB315" s="16">
        <f t="shared" ca="1" si="169"/>
        <v>8682.0045579246689</v>
      </c>
      <c r="AC315" s="16">
        <f t="shared" ca="1" si="170"/>
        <v>8682.0045579246798</v>
      </c>
      <c r="AD315" s="197"/>
      <c r="AE315" s="274">
        <f t="shared" ca="1" si="171"/>
        <v>1.6821425527395739E-3</v>
      </c>
      <c r="AF315" s="166">
        <f t="shared" ca="1" si="172"/>
        <v>0.60652034507405983</v>
      </c>
      <c r="AG315" s="16">
        <f t="shared" ca="1" si="173"/>
        <v>5265.8124004070305</v>
      </c>
      <c r="AH315" s="16">
        <f t="shared" ca="1" si="174"/>
        <v>5265.8124004070369</v>
      </c>
      <c r="AI315" s="168">
        <f t="shared" ca="1" si="175"/>
        <v>49</v>
      </c>
      <c r="AJ315" s="158">
        <f t="shared" ca="1" si="176"/>
        <v>49</v>
      </c>
      <c r="AK315" s="16">
        <f t="shared" ca="1" si="177"/>
        <v>-8816.6536903044835</v>
      </c>
      <c r="AL315" s="168">
        <f t="shared" ca="1" si="186"/>
        <v>8767.6536903044835</v>
      </c>
      <c r="AM315" s="158">
        <f t="shared" ca="1" si="187"/>
        <v>8805.1897910256375</v>
      </c>
      <c r="AN315" s="158">
        <f t="shared" ca="1" si="188"/>
        <v>8508.0990068049632</v>
      </c>
      <c r="AO315" s="169">
        <f t="shared" ca="1" si="189"/>
        <v>15</v>
      </c>
      <c r="AP315" s="169">
        <f t="shared" ca="1" si="190"/>
        <v>15</v>
      </c>
      <c r="AQ315" s="158">
        <f t="shared" ca="1" si="191"/>
        <v>0</v>
      </c>
      <c r="AR315" s="158">
        <f t="shared" ca="1" si="192"/>
        <v>37.536100721154071</v>
      </c>
      <c r="AS315" s="170"/>
      <c r="AT315" s="159"/>
      <c r="AU315" s="159"/>
    </row>
    <row r="316" spans="1:47" x14ac:dyDescent="0.6">
      <c r="A316" s="171" t="str">
        <f t="shared" ca="1" si="158"/>
        <v>November 2049</v>
      </c>
      <c r="B316" s="191">
        <v>0</v>
      </c>
      <c r="C316" s="269">
        <f t="shared" ca="1" si="178"/>
        <v>5.4899999999999997E-2</v>
      </c>
      <c r="D316" s="173" t="str">
        <f t="shared" ca="1" si="179"/>
        <v/>
      </c>
      <c r="E316" s="174" t="str">
        <f t="shared" ca="1" si="180"/>
        <v/>
      </c>
      <c r="F316" s="175">
        <f t="shared" ca="1" si="181"/>
        <v>49</v>
      </c>
      <c r="G316" s="10">
        <v>299</v>
      </c>
      <c r="H316" s="176">
        <f t="shared" ca="1" si="182"/>
        <v>14</v>
      </c>
      <c r="I316" s="12">
        <f t="shared" ca="1" si="183"/>
        <v>8730.1175895833294</v>
      </c>
      <c r="J316" s="12">
        <f t="shared" ca="1" si="159"/>
        <v>525.50541009618235</v>
      </c>
      <c r="K316" s="177">
        <f t="shared" ca="1" si="160"/>
        <v>8204.6121794871469</v>
      </c>
      <c r="L316" s="177">
        <f t="shared" ca="1" si="161"/>
        <v>106659.95833333961</v>
      </c>
      <c r="M316" s="11">
        <f t="shared" ca="1" si="162"/>
        <v>-2.7171154215466231E-11</v>
      </c>
      <c r="N316" s="12">
        <f ca="1">IF(Y316=0, 0, ROUND(SUM(Y$17:Y316)-SUM(J$17:J316),0))</f>
        <v>0</v>
      </c>
      <c r="O316" s="12" t="str">
        <f t="shared" ca="1" si="163"/>
        <v/>
      </c>
      <c r="P316" s="12">
        <f t="shared" ca="1" si="164"/>
        <v>4890000</v>
      </c>
      <c r="Q316" s="178">
        <f t="shared" ca="1" si="194"/>
        <v>5000000</v>
      </c>
      <c r="R316" s="178">
        <f t="shared" ca="1" si="194"/>
        <v>0</v>
      </c>
      <c r="S316" s="178">
        <f t="shared" ca="1" si="194"/>
        <v>358488</v>
      </c>
      <c r="T316" s="178">
        <f t="shared" ca="1" si="194"/>
        <v>628000</v>
      </c>
      <c r="U316" s="179" t="str">
        <f t="shared" ca="1" si="165"/>
        <v/>
      </c>
      <c r="V316" s="180">
        <f t="shared" ca="1" si="157"/>
        <v>0.75</v>
      </c>
      <c r="W316" s="181">
        <f t="shared" ca="1" si="184"/>
        <v>14</v>
      </c>
      <c r="X316" s="177">
        <f t="shared" ca="1" si="166"/>
        <v>8730.1175895833348</v>
      </c>
      <c r="Y316" s="12">
        <f t="shared" ca="1" si="167"/>
        <v>525.50541009615517</v>
      </c>
      <c r="Z316" s="182">
        <f t="shared" ca="1" si="168"/>
        <v>106659.95833333363</v>
      </c>
      <c r="AA316" s="271">
        <f t="shared" ca="1" si="185"/>
        <v>0.22</v>
      </c>
      <c r="AB316" s="12">
        <f t="shared" ca="1" si="169"/>
        <v>8652.7263993621691</v>
      </c>
      <c r="AC316" s="12">
        <f t="shared" ca="1" si="170"/>
        <v>8652.72639936218</v>
      </c>
      <c r="AD316" s="199"/>
      <c r="AE316" s="273">
        <f t="shared" ca="1" si="171"/>
        <v>1.6821425527395739E-3</v>
      </c>
      <c r="AF316" s="184">
        <f t="shared" ca="1" si="172"/>
        <v>0.60550009139250849</v>
      </c>
      <c r="AG316" s="12">
        <f t="shared" ca="1" si="173"/>
        <v>5239.2266256081639</v>
      </c>
      <c r="AH316" s="12">
        <f t="shared" ca="1" si="174"/>
        <v>5239.2266256081712</v>
      </c>
      <c r="AI316" s="185">
        <f t="shared" ca="1" si="175"/>
        <v>49</v>
      </c>
      <c r="AJ316" s="177">
        <f t="shared" ca="1" si="176"/>
        <v>49</v>
      </c>
      <c r="AK316" s="12">
        <f t="shared" ca="1" si="177"/>
        <v>-8779.1175895833294</v>
      </c>
      <c r="AL316" s="185">
        <f t="shared" ca="1" si="186"/>
        <v>8730.1175895833294</v>
      </c>
      <c r="AM316" s="177">
        <f t="shared" ca="1" si="187"/>
        <v>8767.6536903044835</v>
      </c>
      <c r="AN316" s="177">
        <f t="shared" ca="1" si="188"/>
        <v>8488.9169549011767</v>
      </c>
      <c r="AO316" s="196">
        <f t="shared" ca="1" si="189"/>
        <v>14</v>
      </c>
      <c r="AP316" s="196">
        <f t="shared" ca="1" si="190"/>
        <v>14</v>
      </c>
      <c r="AQ316" s="177">
        <f t="shared" ca="1" si="191"/>
        <v>0</v>
      </c>
      <c r="AR316" s="177">
        <f t="shared" ca="1" si="192"/>
        <v>37.536100721154071</v>
      </c>
      <c r="AS316" s="189"/>
      <c r="AT316" s="190"/>
      <c r="AU316" s="190"/>
    </row>
    <row r="317" spans="1:47" x14ac:dyDescent="0.6">
      <c r="A317" s="152" t="str">
        <f t="shared" ca="1" si="158"/>
        <v>Desember 2049</v>
      </c>
      <c r="B317" s="191">
        <v>0</v>
      </c>
      <c r="C317" s="270">
        <f t="shared" ca="1" si="178"/>
        <v>5.4899999999999997E-2</v>
      </c>
      <c r="D317" s="192" t="str">
        <f t="shared" ca="1" si="179"/>
        <v/>
      </c>
      <c r="E317" s="193" t="str">
        <f t="shared" ca="1" si="180"/>
        <v/>
      </c>
      <c r="F317" s="194">
        <f t="shared" ca="1" si="181"/>
        <v>49</v>
      </c>
      <c r="G317" s="14">
        <v>300</v>
      </c>
      <c r="H317" s="157">
        <f t="shared" ca="1" si="182"/>
        <v>13</v>
      </c>
      <c r="I317" s="16">
        <f t="shared" ca="1" si="183"/>
        <v>8692.5814888621753</v>
      </c>
      <c r="J317" s="16">
        <f t="shared" ca="1" si="159"/>
        <v>487.96930937502867</v>
      </c>
      <c r="K317" s="158">
        <f t="shared" ca="1" si="160"/>
        <v>8204.6121794871469</v>
      </c>
      <c r="L317" s="158">
        <f t="shared" ca="1" si="161"/>
        <v>98455.346153852472</v>
      </c>
      <c r="M317" s="15">
        <f t="shared" ca="1" si="162"/>
        <v>-2.7341684472048655E-11</v>
      </c>
      <c r="N317" s="16">
        <f ca="1">IF(Y317=0, 0, ROUND(SUM(Y$17:Y317)-SUM(J$17:J317),0))</f>
        <v>0</v>
      </c>
      <c r="O317" s="16" t="str">
        <f t="shared" ca="1" si="163"/>
        <v/>
      </c>
      <c r="P317" s="16">
        <f t="shared" ca="1" si="164"/>
        <v>4900000</v>
      </c>
      <c r="Q317" s="160">
        <f t="shared" ca="1" si="194"/>
        <v>5000000</v>
      </c>
      <c r="R317" s="160">
        <f t="shared" ca="1" si="194"/>
        <v>0</v>
      </c>
      <c r="S317" s="160">
        <f t="shared" ca="1" si="194"/>
        <v>358488</v>
      </c>
      <c r="T317" s="160">
        <f t="shared" ca="1" si="194"/>
        <v>628000</v>
      </c>
      <c r="U317" s="161" t="str">
        <f t="shared" ca="1" si="165"/>
        <v/>
      </c>
      <c r="V317" s="162">
        <f t="shared" ca="1" si="157"/>
        <v>0.73</v>
      </c>
      <c r="W317" s="195">
        <f t="shared" ca="1" si="184"/>
        <v>13</v>
      </c>
      <c r="X317" s="158">
        <f t="shared" ca="1" si="166"/>
        <v>8692.5814888621808</v>
      </c>
      <c r="Y317" s="16">
        <f t="shared" ca="1" si="167"/>
        <v>487.96930937500133</v>
      </c>
      <c r="Z317" s="164">
        <f t="shared" ca="1" si="168"/>
        <v>98455.346153846447</v>
      </c>
      <c r="AA317" s="272">
        <f t="shared" ca="1" si="185"/>
        <v>0.22</v>
      </c>
      <c r="AB317" s="16">
        <f t="shared" ca="1" si="169"/>
        <v>8623.4482407996693</v>
      </c>
      <c r="AC317" s="16">
        <f t="shared" ca="1" si="170"/>
        <v>8623.4482407996802</v>
      </c>
      <c r="AD317" s="197"/>
      <c r="AE317" s="274">
        <f t="shared" ca="1" si="171"/>
        <v>1.6821425527395739E-3</v>
      </c>
      <c r="AF317" s="166">
        <f t="shared" ca="1" si="172"/>
        <v>0.60448155392308944</v>
      </c>
      <c r="AG317" s="16">
        <f t="shared" ca="1" si="173"/>
        <v>5212.7153927739164</v>
      </c>
      <c r="AH317" s="16">
        <f t="shared" ca="1" si="174"/>
        <v>5212.7153927739228</v>
      </c>
      <c r="AI317" s="168">
        <f t="shared" ca="1" si="175"/>
        <v>49</v>
      </c>
      <c r="AJ317" s="158">
        <f t="shared" ca="1" si="176"/>
        <v>49</v>
      </c>
      <c r="AK317" s="16">
        <f t="shared" ca="1" si="177"/>
        <v>-8741.5814888621753</v>
      </c>
      <c r="AL317" s="168">
        <f t="shared" ca="1" si="186"/>
        <v>8692.5814888621753</v>
      </c>
      <c r="AM317" s="158">
        <f t="shared" ca="1" si="187"/>
        <v>8730.1175895833294</v>
      </c>
      <c r="AN317" s="158">
        <f t="shared" ca="1" si="188"/>
        <v>8469.7634473335147</v>
      </c>
      <c r="AO317" s="169">
        <f t="shared" ca="1" si="189"/>
        <v>13</v>
      </c>
      <c r="AP317" s="169">
        <f t="shared" ca="1" si="190"/>
        <v>13</v>
      </c>
      <c r="AQ317" s="158">
        <f t="shared" ca="1" si="191"/>
        <v>0</v>
      </c>
      <c r="AR317" s="158">
        <f t="shared" ca="1" si="192"/>
        <v>37.536100721154071</v>
      </c>
      <c r="AS317" s="170"/>
      <c r="AT317" s="159"/>
      <c r="AU317" s="159"/>
    </row>
    <row r="318" spans="1:47" x14ac:dyDescent="0.6">
      <c r="A318" s="171" t="str">
        <f t="shared" ca="1" si="158"/>
        <v>Januar 2050</v>
      </c>
      <c r="B318" s="191">
        <v>0</v>
      </c>
      <c r="C318" s="269">
        <f t="shared" ca="1" si="178"/>
        <v>5.4899999999999997E-2</v>
      </c>
      <c r="D318" s="173" t="str">
        <f t="shared" ca="1" si="179"/>
        <v/>
      </c>
      <c r="E318" s="174" t="str">
        <f t="shared" ca="1" si="180"/>
        <v/>
      </c>
      <c r="F318" s="175">
        <f t="shared" ca="1" si="181"/>
        <v>49</v>
      </c>
      <c r="G318" s="10">
        <v>301</v>
      </c>
      <c r="H318" s="176">
        <f t="shared" ca="1" si="182"/>
        <v>12</v>
      </c>
      <c r="I318" s="12">
        <f t="shared" ca="1" si="183"/>
        <v>8655.0453881410212</v>
      </c>
      <c r="J318" s="12">
        <f t="shared" ca="1" si="159"/>
        <v>450.433208653875</v>
      </c>
      <c r="K318" s="177">
        <f t="shared" ca="1" si="160"/>
        <v>8204.6121794871469</v>
      </c>
      <c r="L318" s="177">
        <f t="shared" ca="1" si="161"/>
        <v>90250.733974365328</v>
      </c>
      <c r="M318" s="11">
        <f t="shared" ca="1" si="162"/>
        <v>-2.7512214728631079E-11</v>
      </c>
      <c r="N318" s="12">
        <f ca="1">IF(Y318=0, 0, ROUND(SUM(Y$17:Y318)-SUM(J$17:J318),0))</f>
        <v>0</v>
      </c>
      <c r="O318" s="12" t="str">
        <f t="shared" ca="1" si="163"/>
        <v/>
      </c>
      <c r="P318" s="12" t="str">
        <f t="shared" ca="1" si="164"/>
        <v/>
      </c>
      <c r="Q318" s="178">
        <f t="shared" ref="Q318:T337" ca="1" si="195">OFFSET(Q318,-1,0,1,1)</f>
        <v>5000000</v>
      </c>
      <c r="R318" s="178">
        <f t="shared" ca="1" si="195"/>
        <v>0</v>
      </c>
      <c r="S318" s="178">
        <f t="shared" ca="1" si="195"/>
        <v>358488</v>
      </c>
      <c r="T318" s="178">
        <f t="shared" ca="1" si="195"/>
        <v>628000</v>
      </c>
      <c r="U318" s="179" t="str">
        <f t="shared" ca="1" si="165"/>
        <v/>
      </c>
      <c r="V318" s="180">
        <f t="shared" ca="1" si="157"/>
        <v>0.72</v>
      </c>
      <c r="W318" s="181">
        <f t="shared" ca="1" si="184"/>
        <v>12</v>
      </c>
      <c r="X318" s="177">
        <f t="shared" ca="1" si="166"/>
        <v>8655.0453881410267</v>
      </c>
      <c r="Y318" s="12">
        <f t="shared" ca="1" si="167"/>
        <v>450.43320865384749</v>
      </c>
      <c r="Z318" s="182">
        <f t="shared" ca="1" si="168"/>
        <v>90250.733974359275</v>
      </c>
      <c r="AA318" s="271">
        <f t="shared" ca="1" si="185"/>
        <v>0.22</v>
      </c>
      <c r="AB318" s="12">
        <f t="shared" ca="1" si="169"/>
        <v>8594.1700822371695</v>
      </c>
      <c r="AC318" s="12">
        <f t="shared" ca="1" si="170"/>
        <v>8594.1700822371804</v>
      </c>
      <c r="AD318" s="199"/>
      <c r="AE318" s="273">
        <f t="shared" ca="1" si="171"/>
        <v>1.6821425527395739E-3</v>
      </c>
      <c r="AF318" s="184">
        <f t="shared" ca="1" si="172"/>
        <v>0.60346472977888932</v>
      </c>
      <c r="AG318" s="12">
        <f t="shared" ca="1" si="173"/>
        <v>5186.2785263510686</v>
      </c>
      <c r="AH318" s="12">
        <f t="shared" ca="1" si="174"/>
        <v>5186.278526351075</v>
      </c>
      <c r="AI318" s="185">
        <f t="shared" ca="1" si="175"/>
        <v>49</v>
      </c>
      <c r="AJ318" s="177">
        <f t="shared" ca="1" si="176"/>
        <v>49</v>
      </c>
      <c r="AK318" s="12">
        <f t="shared" ca="1" si="177"/>
        <v>-8704.0453881410212</v>
      </c>
      <c r="AL318" s="185">
        <f t="shared" ca="1" si="186"/>
        <v>8655.0453881410212</v>
      </c>
      <c r="AM318" s="177">
        <f t="shared" ca="1" si="187"/>
        <v>8692.5814888621753</v>
      </c>
      <c r="AN318" s="177">
        <f t="shared" ca="1" si="188"/>
        <v>8450.6384857076646</v>
      </c>
      <c r="AO318" s="196">
        <f t="shared" ca="1" si="189"/>
        <v>12</v>
      </c>
      <c r="AP318" s="196">
        <f t="shared" ca="1" si="190"/>
        <v>12</v>
      </c>
      <c r="AQ318" s="177">
        <f t="shared" ca="1" si="191"/>
        <v>0</v>
      </c>
      <c r="AR318" s="177">
        <f t="shared" ca="1" si="192"/>
        <v>37.536100721154071</v>
      </c>
      <c r="AS318" s="189"/>
      <c r="AT318" s="190"/>
      <c r="AU318" s="190"/>
    </row>
    <row r="319" spans="1:47" x14ac:dyDescent="0.6">
      <c r="A319" s="152" t="str">
        <f t="shared" ca="1" si="158"/>
        <v>Februar 2050</v>
      </c>
      <c r="B319" s="191">
        <v>0</v>
      </c>
      <c r="C319" s="270">
        <f t="shared" ca="1" si="178"/>
        <v>5.4899999999999997E-2</v>
      </c>
      <c r="D319" s="192" t="str">
        <f t="shared" ca="1" si="179"/>
        <v/>
      </c>
      <c r="E319" s="193" t="str">
        <f t="shared" ca="1" si="180"/>
        <v/>
      </c>
      <c r="F319" s="194">
        <f t="shared" ca="1" si="181"/>
        <v>49</v>
      </c>
      <c r="G319" s="14">
        <v>302</v>
      </c>
      <c r="H319" s="157">
        <f t="shared" ca="1" si="182"/>
        <v>11</v>
      </c>
      <c r="I319" s="16">
        <f t="shared" ca="1" si="183"/>
        <v>8617.509287419869</v>
      </c>
      <c r="J319" s="16">
        <f t="shared" ca="1" si="159"/>
        <v>412.89710793272138</v>
      </c>
      <c r="K319" s="158">
        <f t="shared" ca="1" si="160"/>
        <v>8204.6121794871469</v>
      </c>
      <c r="L319" s="158">
        <f t="shared" ca="1" si="161"/>
        <v>82046.121794878185</v>
      </c>
      <c r="M319" s="15">
        <f t="shared" ca="1" si="162"/>
        <v>-2.7739588404074311E-11</v>
      </c>
      <c r="N319" s="16">
        <f ca="1">IF(Y319=0, 0, ROUND(SUM(Y$17:Y319)-SUM(J$17:J319),0))</f>
        <v>0</v>
      </c>
      <c r="O319" s="16" t="str">
        <f t="shared" ca="1" si="163"/>
        <v/>
      </c>
      <c r="P319" s="16">
        <f t="shared" ca="1" si="164"/>
        <v>4910000</v>
      </c>
      <c r="Q319" s="160">
        <f t="shared" ca="1" si="195"/>
        <v>5000000</v>
      </c>
      <c r="R319" s="160">
        <f t="shared" ca="1" si="195"/>
        <v>0</v>
      </c>
      <c r="S319" s="160">
        <f t="shared" ca="1" si="195"/>
        <v>358488</v>
      </c>
      <c r="T319" s="160">
        <f t="shared" ca="1" si="195"/>
        <v>628000</v>
      </c>
      <c r="U319" s="161" t="str">
        <f t="shared" ca="1" si="165"/>
        <v/>
      </c>
      <c r="V319" s="162">
        <f t="shared" ca="1" si="157"/>
        <v>0.71</v>
      </c>
      <c r="W319" s="195">
        <f t="shared" ca="1" si="184"/>
        <v>11</v>
      </c>
      <c r="X319" s="158">
        <f t="shared" ca="1" si="166"/>
        <v>8617.5092874198726</v>
      </c>
      <c r="Y319" s="16">
        <f t="shared" ca="1" si="167"/>
        <v>412.89710793269364</v>
      </c>
      <c r="Z319" s="164">
        <f t="shared" ca="1" si="168"/>
        <v>82046.121794872088</v>
      </c>
      <c r="AA319" s="272">
        <f t="shared" ca="1" si="185"/>
        <v>0.22</v>
      </c>
      <c r="AB319" s="16">
        <f t="shared" ca="1" si="169"/>
        <v>8564.8919236746697</v>
      </c>
      <c r="AC319" s="16">
        <f t="shared" ca="1" si="170"/>
        <v>8564.8919236746806</v>
      </c>
      <c r="AD319" s="197"/>
      <c r="AE319" s="274">
        <f t="shared" ca="1" si="171"/>
        <v>1.6821425527395739E-3</v>
      </c>
      <c r="AF319" s="166">
        <f t="shared" ca="1" si="172"/>
        <v>0.60244961607785075</v>
      </c>
      <c r="AG319" s="16">
        <f t="shared" ca="1" si="173"/>
        <v>5159.9158511660889</v>
      </c>
      <c r="AH319" s="16">
        <f t="shared" ca="1" si="174"/>
        <v>5159.9158511660962</v>
      </c>
      <c r="AI319" s="168">
        <f t="shared" ca="1" si="175"/>
        <v>49</v>
      </c>
      <c r="AJ319" s="158">
        <f t="shared" ca="1" si="176"/>
        <v>49</v>
      </c>
      <c r="AK319" s="16">
        <f t="shared" ca="1" si="177"/>
        <v>-8666.509287419869</v>
      </c>
      <c r="AL319" s="168">
        <f t="shared" ca="1" si="186"/>
        <v>8617.509287419869</v>
      </c>
      <c r="AM319" s="158">
        <f t="shared" ca="1" si="187"/>
        <v>8655.0453881410212</v>
      </c>
      <c r="AN319" s="158">
        <f t="shared" ca="1" si="188"/>
        <v>8431.5420715104847</v>
      </c>
      <c r="AO319" s="169">
        <f t="shared" ca="1" si="189"/>
        <v>11</v>
      </c>
      <c r="AP319" s="169">
        <f t="shared" ca="1" si="190"/>
        <v>11</v>
      </c>
      <c r="AQ319" s="158">
        <f t="shared" ca="1" si="191"/>
        <v>0</v>
      </c>
      <c r="AR319" s="158">
        <f t="shared" ca="1" si="192"/>
        <v>37.536100721152252</v>
      </c>
      <c r="AS319" s="170"/>
      <c r="AT319" s="159"/>
      <c r="AU319" s="159"/>
    </row>
    <row r="320" spans="1:47" x14ac:dyDescent="0.6">
      <c r="A320" s="171" t="str">
        <f t="shared" ca="1" si="158"/>
        <v>Mars 2050</v>
      </c>
      <c r="B320" s="191">
        <v>0</v>
      </c>
      <c r="C320" s="269">
        <f t="shared" ca="1" si="178"/>
        <v>5.4899999999999997E-2</v>
      </c>
      <c r="D320" s="173" t="str">
        <f t="shared" ca="1" si="179"/>
        <v/>
      </c>
      <c r="E320" s="174" t="str">
        <f t="shared" ca="1" si="180"/>
        <v/>
      </c>
      <c r="F320" s="175">
        <f t="shared" ca="1" si="181"/>
        <v>49</v>
      </c>
      <c r="G320" s="10">
        <v>303</v>
      </c>
      <c r="H320" s="176">
        <f t="shared" ca="1" si="182"/>
        <v>10</v>
      </c>
      <c r="I320" s="12">
        <f t="shared" ca="1" si="183"/>
        <v>8579.9731866987149</v>
      </c>
      <c r="J320" s="12">
        <f t="shared" ca="1" si="159"/>
        <v>375.36100721156771</v>
      </c>
      <c r="K320" s="177">
        <f t="shared" ca="1" si="160"/>
        <v>8204.6121794871469</v>
      </c>
      <c r="L320" s="177">
        <f t="shared" ca="1" si="161"/>
        <v>73841.509615391042</v>
      </c>
      <c r="M320" s="11">
        <f t="shared" ca="1" si="162"/>
        <v>-2.7910118660656735E-11</v>
      </c>
      <c r="N320" s="12">
        <f ca="1">IF(Y320=0, 0, ROUND(SUM(Y$17:Y320)-SUM(J$17:J320),0))</f>
        <v>0</v>
      </c>
      <c r="O320" s="12" t="str">
        <f t="shared" ca="1" si="163"/>
        <v/>
      </c>
      <c r="P320" s="12">
        <f t="shared" ca="1" si="164"/>
        <v>4920000</v>
      </c>
      <c r="Q320" s="178">
        <f t="shared" ca="1" si="195"/>
        <v>5000000</v>
      </c>
      <c r="R320" s="178">
        <f t="shared" ca="1" si="195"/>
        <v>0</v>
      </c>
      <c r="S320" s="178">
        <f t="shared" ca="1" si="195"/>
        <v>358488</v>
      </c>
      <c r="T320" s="178">
        <f t="shared" ca="1" si="195"/>
        <v>628000</v>
      </c>
      <c r="U320" s="179" t="str">
        <f t="shared" ca="1" si="165"/>
        <v/>
      </c>
      <c r="V320" s="180">
        <f t="shared" ca="1" si="157"/>
        <v>0.69000000000000006</v>
      </c>
      <c r="W320" s="181">
        <f t="shared" ca="1" si="184"/>
        <v>10</v>
      </c>
      <c r="X320" s="177">
        <f t="shared" ca="1" si="166"/>
        <v>8579.9731866987204</v>
      </c>
      <c r="Y320" s="12">
        <f t="shared" ca="1" si="167"/>
        <v>375.3610072115398</v>
      </c>
      <c r="Z320" s="182">
        <f t="shared" ca="1" si="168"/>
        <v>73841.509615384915</v>
      </c>
      <c r="AA320" s="271">
        <f t="shared" ca="1" si="185"/>
        <v>0.22</v>
      </c>
      <c r="AB320" s="12">
        <f t="shared" ca="1" si="169"/>
        <v>8535.6137651121699</v>
      </c>
      <c r="AC320" s="12">
        <f t="shared" ca="1" si="170"/>
        <v>8535.6137651121808</v>
      </c>
      <c r="AD320" s="199"/>
      <c r="AE320" s="273">
        <f t="shared" ca="1" si="171"/>
        <v>1.6821425527395739E-3</v>
      </c>
      <c r="AF320" s="184">
        <f t="shared" ca="1" si="172"/>
        <v>0.60143620994276459</v>
      </c>
      <c r="AG320" s="12">
        <f t="shared" ca="1" si="173"/>
        <v>5133.6271924243547</v>
      </c>
      <c r="AH320" s="12">
        <f t="shared" ca="1" si="174"/>
        <v>5133.6271924243611</v>
      </c>
      <c r="AI320" s="185">
        <f t="shared" ca="1" si="175"/>
        <v>49</v>
      </c>
      <c r="AJ320" s="177">
        <f t="shared" ca="1" si="176"/>
        <v>49</v>
      </c>
      <c r="AK320" s="12">
        <f t="shared" ca="1" si="177"/>
        <v>-8628.9731866987149</v>
      </c>
      <c r="AL320" s="185">
        <f t="shared" ca="1" si="186"/>
        <v>8579.9731866987149</v>
      </c>
      <c r="AM320" s="177">
        <f t="shared" ca="1" si="187"/>
        <v>8617.509287419869</v>
      </c>
      <c r="AN320" s="177">
        <f t="shared" ca="1" si="188"/>
        <v>8412.4742061099587</v>
      </c>
      <c r="AO320" s="196">
        <f t="shared" ca="1" si="189"/>
        <v>10</v>
      </c>
      <c r="AP320" s="196">
        <f t="shared" ca="1" si="190"/>
        <v>10</v>
      </c>
      <c r="AQ320" s="177">
        <f t="shared" ca="1" si="191"/>
        <v>0</v>
      </c>
      <c r="AR320" s="177">
        <f t="shared" ca="1" si="192"/>
        <v>37.536100721154071</v>
      </c>
      <c r="AS320" s="189"/>
      <c r="AT320" s="190"/>
      <c r="AU320" s="190"/>
    </row>
    <row r="321" spans="1:47" x14ac:dyDescent="0.6">
      <c r="A321" s="152" t="str">
        <f t="shared" ca="1" si="158"/>
        <v>April 2050</v>
      </c>
      <c r="B321" s="191">
        <v>0</v>
      </c>
      <c r="C321" s="270">
        <f t="shared" ca="1" si="178"/>
        <v>5.4899999999999997E-2</v>
      </c>
      <c r="D321" s="192" t="str">
        <f t="shared" ca="1" si="179"/>
        <v/>
      </c>
      <c r="E321" s="193" t="str">
        <f t="shared" ca="1" si="180"/>
        <v/>
      </c>
      <c r="F321" s="194">
        <f t="shared" ca="1" si="181"/>
        <v>49</v>
      </c>
      <c r="G321" s="14">
        <v>304</v>
      </c>
      <c r="H321" s="157">
        <f t="shared" ca="1" si="182"/>
        <v>9</v>
      </c>
      <c r="I321" s="16">
        <f t="shared" ca="1" si="183"/>
        <v>8542.4370859775609</v>
      </c>
      <c r="J321" s="16">
        <f t="shared" ca="1" si="159"/>
        <v>337.82490649041398</v>
      </c>
      <c r="K321" s="158">
        <f t="shared" ca="1" si="160"/>
        <v>8204.6121794871469</v>
      </c>
      <c r="L321" s="158">
        <f t="shared" ca="1" si="161"/>
        <v>65636.897435903898</v>
      </c>
      <c r="M321" s="15">
        <f t="shared" ca="1" si="162"/>
        <v>-2.8023805498378351E-11</v>
      </c>
      <c r="N321" s="16">
        <f ca="1">IF(Y321=0, 0, ROUND(SUM(Y$17:Y321)-SUM(J$17:J321),0))</f>
        <v>0</v>
      </c>
      <c r="O321" s="16" t="str">
        <f t="shared" ca="1" si="163"/>
        <v/>
      </c>
      <c r="P321" s="16">
        <f t="shared" ca="1" si="164"/>
        <v>4930000</v>
      </c>
      <c r="Q321" s="160">
        <f t="shared" ca="1" si="195"/>
        <v>5000000</v>
      </c>
      <c r="R321" s="160">
        <f t="shared" ca="1" si="195"/>
        <v>0</v>
      </c>
      <c r="S321" s="160">
        <f t="shared" ca="1" si="195"/>
        <v>358488</v>
      </c>
      <c r="T321" s="160">
        <f t="shared" ca="1" si="195"/>
        <v>628000</v>
      </c>
      <c r="U321" s="161" t="str">
        <f t="shared" ca="1" si="165"/>
        <v/>
      </c>
      <c r="V321" s="162">
        <f t="shared" ca="1" si="157"/>
        <v>0.68</v>
      </c>
      <c r="W321" s="195">
        <f t="shared" ca="1" si="184"/>
        <v>9</v>
      </c>
      <c r="X321" s="158">
        <f t="shared" ca="1" si="166"/>
        <v>8542.4370859775663</v>
      </c>
      <c r="Y321" s="16">
        <f t="shared" ca="1" si="167"/>
        <v>337.82490649038596</v>
      </c>
      <c r="Z321" s="164">
        <f t="shared" ca="1" si="168"/>
        <v>65636.897435897728</v>
      </c>
      <c r="AA321" s="272">
        <f t="shared" ca="1" si="185"/>
        <v>0.22</v>
      </c>
      <c r="AB321" s="16">
        <f t="shared" ca="1" si="169"/>
        <v>8506.33560654967</v>
      </c>
      <c r="AC321" s="16">
        <f t="shared" ca="1" si="170"/>
        <v>8506.335606549681</v>
      </c>
      <c r="AD321" s="197"/>
      <c r="AE321" s="274">
        <f t="shared" ca="1" si="171"/>
        <v>1.6821425527395739E-3</v>
      </c>
      <c r="AF321" s="166">
        <f t="shared" ca="1" si="172"/>
        <v>0.6004245085012615</v>
      </c>
      <c r="AG321" s="16">
        <f t="shared" ca="1" si="173"/>
        <v>5107.4123757093657</v>
      </c>
      <c r="AH321" s="16">
        <f t="shared" ca="1" si="174"/>
        <v>5107.4123757093721</v>
      </c>
      <c r="AI321" s="168">
        <f t="shared" ca="1" si="175"/>
        <v>49</v>
      </c>
      <c r="AJ321" s="158">
        <f t="shared" ca="1" si="176"/>
        <v>49</v>
      </c>
      <c r="AK321" s="16">
        <f t="shared" ca="1" si="177"/>
        <v>-8591.4370859775609</v>
      </c>
      <c r="AL321" s="168">
        <f t="shared" ca="1" si="186"/>
        <v>8542.4370859775609</v>
      </c>
      <c r="AM321" s="158">
        <f t="shared" ca="1" si="187"/>
        <v>8579.9731866987149</v>
      </c>
      <c r="AN321" s="158">
        <f t="shared" ca="1" si="188"/>
        <v>8393.4348907551939</v>
      </c>
      <c r="AO321" s="169">
        <f t="shared" ca="1" si="189"/>
        <v>9</v>
      </c>
      <c r="AP321" s="169">
        <f t="shared" ca="1" si="190"/>
        <v>9</v>
      </c>
      <c r="AQ321" s="158">
        <f t="shared" ca="1" si="191"/>
        <v>0</v>
      </c>
      <c r="AR321" s="158">
        <f t="shared" ca="1" si="192"/>
        <v>37.536100721154071</v>
      </c>
      <c r="AS321" s="170"/>
      <c r="AT321" s="159"/>
      <c r="AU321" s="159"/>
    </row>
    <row r="322" spans="1:47" x14ac:dyDescent="0.6">
      <c r="A322" s="171" t="str">
        <f t="shared" ca="1" si="158"/>
        <v>Mai 2050</v>
      </c>
      <c r="B322" s="191">
        <v>0</v>
      </c>
      <c r="C322" s="269">
        <f t="shared" ca="1" si="178"/>
        <v>5.4899999999999997E-2</v>
      </c>
      <c r="D322" s="173" t="str">
        <f t="shared" ca="1" si="179"/>
        <v/>
      </c>
      <c r="E322" s="174" t="str">
        <f t="shared" ca="1" si="180"/>
        <v/>
      </c>
      <c r="F322" s="175">
        <f t="shared" ca="1" si="181"/>
        <v>49</v>
      </c>
      <c r="G322" s="10">
        <v>305</v>
      </c>
      <c r="H322" s="176">
        <f t="shared" ca="1" si="182"/>
        <v>8</v>
      </c>
      <c r="I322" s="12">
        <f t="shared" ca="1" si="183"/>
        <v>8504.9009852564068</v>
      </c>
      <c r="J322" s="12">
        <f t="shared" ca="1" si="159"/>
        <v>300.28880576926031</v>
      </c>
      <c r="K322" s="177">
        <f t="shared" ca="1" si="160"/>
        <v>8204.6121794871469</v>
      </c>
      <c r="L322" s="177">
        <f t="shared" ca="1" si="161"/>
        <v>57432.285256416755</v>
      </c>
      <c r="M322" s="11">
        <f t="shared" ca="1" si="162"/>
        <v>-2.8251179173821583E-11</v>
      </c>
      <c r="N322" s="12">
        <f ca="1">IF(Y322=0, 0, ROUND(SUM(Y$17:Y322)-SUM(J$17:J322),0))</f>
        <v>0</v>
      </c>
      <c r="O322" s="12" t="str">
        <f t="shared" ca="1" si="163"/>
        <v/>
      </c>
      <c r="P322" s="12">
        <f t="shared" ca="1" si="164"/>
        <v>4940000</v>
      </c>
      <c r="Q322" s="178">
        <f t="shared" ca="1" si="195"/>
        <v>5000000</v>
      </c>
      <c r="R322" s="178">
        <f t="shared" ca="1" si="195"/>
        <v>0</v>
      </c>
      <c r="S322" s="178">
        <f t="shared" ca="1" si="195"/>
        <v>358488</v>
      </c>
      <c r="T322" s="178">
        <f t="shared" ca="1" si="195"/>
        <v>628000</v>
      </c>
      <c r="U322" s="179" t="str">
        <f t="shared" ca="1" si="165"/>
        <v/>
      </c>
      <c r="V322" s="180">
        <f t="shared" ca="1" si="157"/>
        <v>0.67</v>
      </c>
      <c r="W322" s="181">
        <f t="shared" ca="1" si="184"/>
        <v>8</v>
      </c>
      <c r="X322" s="177">
        <f t="shared" ca="1" si="166"/>
        <v>8504.9009852564122</v>
      </c>
      <c r="Y322" s="12">
        <f t="shared" ca="1" si="167"/>
        <v>300.28880576923206</v>
      </c>
      <c r="Z322" s="182">
        <f t="shared" ca="1" si="168"/>
        <v>57432.285256410549</v>
      </c>
      <c r="AA322" s="271">
        <f t="shared" ca="1" si="185"/>
        <v>0.22</v>
      </c>
      <c r="AB322" s="12">
        <f t="shared" ca="1" si="169"/>
        <v>8477.0574479871702</v>
      </c>
      <c r="AC322" s="12">
        <f t="shared" ca="1" si="170"/>
        <v>8477.0574479871811</v>
      </c>
      <c r="AD322" s="199"/>
      <c r="AE322" s="273">
        <f t="shared" ca="1" si="171"/>
        <v>1.6821425527395739E-3</v>
      </c>
      <c r="AF322" s="184">
        <f t="shared" ca="1" si="172"/>
        <v>0.59941450888580383</v>
      </c>
      <c r="AG322" s="12">
        <f t="shared" ca="1" si="173"/>
        <v>5081.2712269819749</v>
      </c>
      <c r="AH322" s="12">
        <f t="shared" ca="1" si="174"/>
        <v>5081.2712269819822</v>
      </c>
      <c r="AI322" s="185">
        <f t="shared" ca="1" si="175"/>
        <v>49</v>
      </c>
      <c r="AJ322" s="177">
        <f t="shared" ca="1" si="176"/>
        <v>49</v>
      </c>
      <c r="AK322" s="12">
        <f t="shared" ca="1" si="177"/>
        <v>-8553.9009852564068</v>
      </c>
      <c r="AL322" s="185">
        <f t="shared" ca="1" si="186"/>
        <v>8504.9009852564068</v>
      </c>
      <c r="AM322" s="177">
        <f t="shared" ca="1" si="187"/>
        <v>8542.4370859775609</v>
      </c>
      <c r="AN322" s="177">
        <f t="shared" ca="1" si="188"/>
        <v>8374.4241265763776</v>
      </c>
      <c r="AO322" s="196">
        <f t="shared" ca="1" si="189"/>
        <v>8</v>
      </c>
      <c r="AP322" s="196">
        <f t="shared" ca="1" si="190"/>
        <v>8</v>
      </c>
      <c r="AQ322" s="177">
        <f t="shared" ca="1" si="191"/>
        <v>0</v>
      </c>
      <c r="AR322" s="177">
        <f t="shared" ca="1" si="192"/>
        <v>37.536100721154071</v>
      </c>
      <c r="AS322" s="189"/>
      <c r="AT322" s="190"/>
      <c r="AU322" s="190"/>
    </row>
    <row r="323" spans="1:47" x14ac:dyDescent="0.6">
      <c r="A323" s="152" t="str">
        <f t="shared" ca="1" si="158"/>
        <v>Juni 2050</v>
      </c>
      <c r="B323" s="191">
        <v>0</v>
      </c>
      <c r="C323" s="270">
        <f t="shared" ca="1" si="178"/>
        <v>5.4899999999999997E-2</v>
      </c>
      <c r="D323" s="192" t="str">
        <f t="shared" ca="1" si="179"/>
        <v/>
      </c>
      <c r="E323" s="193" t="str">
        <f t="shared" ca="1" si="180"/>
        <v/>
      </c>
      <c r="F323" s="194">
        <f t="shared" ca="1" si="181"/>
        <v>49</v>
      </c>
      <c r="G323" s="14">
        <v>306</v>
      </c>
      <c r="H323" s="157">
        <f t="shared" ca="1" si="182"/>
        <v>7</v>
      </c>
      <c r="I323" s="16">
        <f t="shared" ca="1" si="183"/>
        <v>8467.3648845352527</v>
      </c>
      <c r="J323" s="16">
        <f t="shared" ca="1" si="159"/>
        <v>262.75270504810663</v>
      </c>
      <c r="K323" s="158">
        <f t="shared" ca="1" si="160"/>
        <v>8204.6121794871469</v>
      </c>
      <c r="L323" s="158">
        <f t="shared" ca="1" si="161"/>
        <v>49227.673076929612</v>
      </c>
      <c r="M323" s="15">
        <f t="shared" ca="1" si="162"/>
        <v>-2.8421709430404007E-11</v>
      </c>
      <c r="N323" s="16">
        <f ca="1">IF(Y323=0, 0, ROUND(SUM(Y$17:Y323)-SUM(J$17:J323),0))</f>
        <v>0</v>
      </c>
      <c r="O323" s="16" t="str">
        <f t="shared" ca="1" si="163"/>
        <v/>
      </c>
      <c r="P323" s="16">
        <f t="shared" ca="1" si="164"/>
        <v>4950000</v>
      </c>
      <c r="Q323" s="160">
        <f t="shared" ca="1" si="195"/>
        <v>5000000</v>
      </c>
      <c r="R323" s="160">
        <f t="shared" ca="1" si="195"/>
        <v>0</v>
      </c>
      <c r="S323" s="160">
        <f t="shared" ca="1" si="195"/>
        <v>358488</v>
      </c>
      <c r="T323" s="160">
        <f t="shared" ca="1" si="195"/>
        <v>628000</v>
      </c>
      <c r="U323" s="161" t="str">
        <f t="shared" ca="1" si="165"/>
        <v/>
      </c>
      <c r="V323" s="162">
        <f t="shared" ca="1" si="157"/>
        <v>0.65</v>
      </c>
      <c r="W323" s="195">
        <f t="shared" ca="1" si="184"/>
        <v>7</v>
      </c>
      <c r="X323" s="158">
        <f t="shared" ca="1" si="166"/>
        <v>8467.3648845352582</v>
      </c>
      <c r="Y323" s="16">
        <f t="shared" ca="1" si="167"/>
        <v>262.75270504807821</v>
      </c>
      <c r="Z323" s="164">
        <f t="shared" ca="1" si="168"/>
        <v>49227.673076923369</v>
      </c>
      <c r="AA323" s="272">
        <f t="shared" ca="1" si="185"/>
        <v>0.22</v>
      </c>
      <c r="AB323" s="16">
        <f t="shared" ca="1" si="169"/>
        <v>8447.7792894246704</v>
      </c>
      <c r="AC323" s="16">
        <f t="shared" ca="1" si="170"/>
        <v>8447.7792894246813</v>
      </c>
      <c r="AD323" s="197"/>
      <c r="AE323" s="274">
        <f t="shared" ca="1" si="171"/>
        <v>1.6821425527395739E-3</v>
      </c>
      <c r="AF323" s="166">
        <f t="shared" ca="1" si="172"/>
        <v>0.59840620823367752</v>
      </c>
      <c r="AG323" s="16">
        <f t="shared" ca="1" si="173"/>
        <v>5055.2035725796077</v>
      </c>
      <c r="AH323" s="16">
        <f t="shared" ca="1" si="174"/>
        <v>5055.203572579614</v>
      </c>
      <c r="AI323" s="168">
        <f t="shared" ca="1" si="175"/>
        <v>49</v>
      </c>
      <c r="AJ323" s="158">
        <f t="shared" ca="1" si="176"/>
        <v>49</v>
      </c>
      <c r="AK323" s="16">
        <f t="shared" ca="1" si="177"/>
        <v>-8516.3648845352527</v>
      </c>
      <c r="AL323" s="168">
        <f t="shared" ca="1" si="186"/>
        <v>8467.3648845352527</v>
      </c>
      <c r="AM323" s="158">
        <f t="shared" ca="1" si="187"/>
        <v>8504.9009852564068</v>
      </c>
      <c r="AN323" s="158">
        <f t="shared" ca="1" si="188"/>
        <v>8355.4419145847933</v>
      </c>
      <c r="AO323" s="169">
        <f t="shared" ca="1" si="189"/>
        <v>7</v>
      </c>
      <c r="AP323" s="169">
        <f t="shared" ca="1" si="190"/>
        <v>7</v>
      </c>
      <c r="AQ323" s="158">
        <f t="shared" ca="1" si="191"/>
        <v>0</v>
      </c>
      <c r="AR323" s="158">
        <f t="shared" ca="1" si="192"/>
        <v>37.536100721154071</v>
      </c>
      <c r="AS323" s="170"/>
      <c r="AT323" s="159"/>
      <c r="AU323" s="159"/>
    </row>
    <row r="324" spans="1:47" x14ac:dyDescent="0.6">
      <c r="A324" s="171" t="str">
        <f t="shared" ca="1" si="158"/>
        <v>Juli 2050</v>
      </c>
      <c r="B324" s="191">
        <v>0</v>
      </c>
      <c r="C324" s="269">
        <f t="shared" ca="1" si="178"/>
        <v>5.4899999999999997E-2</v>
      </c>
      <c r="D324" s="173" t="str">
        <f t="shared" ca="1" si="179"/>
        <v/>
      </c>
      <c r="E324" s="174" t="str">
        <f t="shared" ca="1" si="180"/>
        <v/>
      </c>
      <c r="F324" s="175">
        <f t="shared" ca="1" si="181"/>
        <v>49</v>
      </c>
      <c r="G324" s="10">
        <v>307</v>
      </c>
      <c r="H324" s="176">
        <f t="shared" ca="1" si="182"/>
        <v>6</v>
      </c>
      <c r="I324" s="12">
        <f t="shared" ca="1" si="183"/>
        <v>8429.8287838141005</v>
      </c>
      <c r="J324" s="12">
        <f t="shared" ca="1" si="159"/>
        <v>225.21660432695296</v>
      </c>
      <c r="K324" s="177">
        <f t="shared" ca="1" si="160"/>
        <v>8204.6121794871469</v>
      </c>
      <c r="L324" s="177">
        <f t="shared" ca="1" si="161"/>
        <v>41023.060897442469</v>
      </c>
      <c r="M324" s="11">
        <f t="shared" ca="1" si="162"/>
        <v>-2.8563817977556027E-11</v>
      </c>
      <c r="N324" s="12">
        <f ca="1">IF(Y324=0, 0, ROUND(SUM(Y$17:Y324)-SUM(J$17:J324),0))</f>
        <v>0</v>
      </c>
      <c r="O324" s="12" t="str">
        <f t="shared" ca="1" si="163"/>
        <v/>
      </c>
      <c r="P324" s="12" t="str">
        <f t="shared" ca="1" si="164"/>
        <v/>
      </c>
      <c r="Q324" s="178">
        <f t="shared" ca="1" si="195"/>
        <v>5000000</v>
      </c>
      <c r="R324" s="178">
        <f t="shared" ca="1" si="195"/>
        <v>0</v>
      </c>
      <c r="S324" s="178">
        <f t="shared" ca="1" si="195"/>
        <v>358488</v>
      </c>
      <c r="T324" s="178">
        <f t="shared" ca="1" si="195"/>
        <v>628000</v>
      </c>
      <c r="U324" s="179" t="str">
        <f t="shared" ca="1" si="165"/>
        <v/>
      </c>
      <c r="V324" s="180">
        <f t="shared" ca="1" si="157"/>
        <v>0.64</v>
      </c>
      <c r="W324" s="181">
        <f t="shared" ca="1" si="184"/>
        <v>6</v>
      </c>
      <c r="X324" s="177">
        <f t="shared" ca="1" si="166"/>
        <v>8429.8287838141041</v>
      </c>
      <c r="Y324" s="12">
        <f t="shared" ca="1" si="167"/>
        <v>225.2166043269244</v>
      </c>
      <c r="Z324" s="182">
        <f t="shared" ca="1" si="168"/>
        <v>41023.060897436189</v>
      </c>
      <c r="AA324" s="271">
        <f t="shared" ca="1" si="185"/>
        <v>0.22</v>
      </c>
      <c r="AB324" s="12">
        <f t="shared" ca="1" si="169"/>
        <v>8418.5011308621706</v>
      </c>
      <c r="AC324" s="12">
        <f t="shared" ca="1" si="170"/>
        <v>8418.5011308621815</v>
      </c>
      <c r="AD324" s="199"/>
      <c r="AE324" s="273">
        <f t="shared" ca="1" si="171"/>
        <v>1.6821425527395739E-3</v>
      </c>
      <c r="AF324" s="184">
        <f t="shared" ca="1" si="172"/>
        <v>0.59739960368698408</v>
      </c>
      <c r="AG324" s="12">
        <f t="shared" ca="1" si="173"/>
        <v>5029.2092392154882</v>
      </c>
      <c r="AH324" s="12">
        <f t="shared" ca="1" si="174"/>
        <v>5029.2092392154946</v>
      </c>
      <c r="AI324" s="185">
        <f t="shared" ca="1" si="175"/>
        <v>49</v>
      </c>
      <c r="AJ324" s="177">
        <f t="shared" ca="1" si="176"/>
        <v>49</v>
      </c>
      <c r="AK324" s="12">
        <f t="shared" ca="1" si="177"/>
        <v>-8478.8287838141005</v>
      </c>
      <c r="AL324" s="185">
        <f t="shared" ca="1" si="186"/>
        <v>8429.8287838141005</v>
      </c>
      <c r="AM324" s="177">
        <f t="shared" ca="1" si="187"/>
        <v>8467.3648845352527</v>
      </c>
      <c r="AN324" s="177">
        <f t="shared" ca="1" si="188"/>
        <v>8336.4882556727862</v>
      </c>
      <c r="AO324" s="196">
        <f t="shared" ca="1" si="189"/>
        <v>6</v>
      </c>
      <c r="AP324" s="196">
        <f t="shared" ca="1" si="190"/>
        <v>6</v>
      </c>
      <c r="AQ324" s="177">
        <f t="shared" ca="1" si="191"/>
        <v>0</v>
      </c>
      <c r="AR324" s="177">
        <f t="shared" ca="1" si="192"/>
        <v>37.536100721152252</v>
      </c>
      <c r="AS324" s="189"/>
      <c r="AT324" s="190"/>
      <c r="AU324" s="190"/>
    </row>
    <row r="325" spans="1:47" x14ac:dyDescent="0.6">
      <c r="A325" s="152" t="str">
        <f t="shared" ca="1" si="158"/>
        <v>August 2050</v>
      </c>
      <c r="B325" s="191">
        <v>0</v>
      </c>
      <c r="C325" s="270">
        <f t="shared" ca="1" si="178"/>
        <v>5.4899999999999997E-2</v>
      </c>
      <c r="D325" s="192" t="str">
        <f t="shared" ca="1" si="179"/>
        <v/>
      </c>
      <c r="E325" s="193" t="str">
        <f t="shared" ca="1" si="180"/>
        <v/>
      </c>
      <c r="F325" s="194">
        <f t="shared" ca="1" si="181"/>
        <v>49</v>
      </c>
      <c r="G325" s="14">
        <v>308</v>
      </c>
      <c r="H325" s="157">
        <f t="shared" ca="1" si="182"/>
        <v>5</v>
      </c>
      <c r="I325" s="16">
        <f t="shared" ca="1" si="183"/>
        <v>8392.2926830929464</v>
      </c>
      <c r="J325" s="16">
        <f t="shared" ca="1" si="159"/>
        <v>187.68050360579926</v>
      </c>
      <c r="K325" s="158">
        <f t="shared" ca="1" si="160"/>
        <v>8204.6121794871469</v>
      </c>
      <c r="L325" s="158">
        <f t="shared" ca="1" si="161"/>
        <v>32818.448717955325</v>
      </c>
      <c r="M325" s="15">
        <f t="shared" ca="1" si="162"/>
        <v>-2.8705926524708048E-11</v>
      </c>
      <c r="N325" s="16">
        <f ca="1">IF(Y325=0, 0, ROUND(SUM(Y$17:Y325)-SUM(J$17:J325),0))</f>
        <v>0</v>
      </c>
      <c r="O325" s="16" t="str">
        <f t="shared" ca="1" si="163"/>
        <v/>
      </c>
      <c r="P325" s="16">
        <f t="shared" ca="1" si="164"/>
        <v>4960000</v>
      </c>
      <c r="Q325" s="160">
        <f t="shared" ca="1" si="195"/>
        <v>5000000</v>
      </c>
      <c r="R325" s="160">
        <f t="shared" ca="1" si="195"/>
        <v>0</v>
      </c>
      <c r="S325" s="160">
        <f t="shared" ca="1" si="195"/>
        <v>358488</v>
      </c>
      <c r="T325" s="160">
        <f t="shared" ca="1" si="195"/>
        <v>628000</v>
      </c>
      <c r="U325" s="161" t="str">
        <f t="shared" ca="1" si="165"/>
        <v/>
      </c>
      <c r="V325" s="162">
        <f t="shared" ca="1" si="157"/>
        <v>0.63</v>
      </c>
      <c r="W325" s="195">
        <f t="shared" ca="1" si="184"/>
        <v>5</v>
      </c>
      <c r="X325" s="158">
        <f t="shared" ca="1" si="166"/>
        <v>8392.29268309295</v>
      </c>
      <c r="Y325" s="16">
        <f t="shared" ca="1" si="167"/>
        <v>187.68050360577055</v>
      </c>
      <c r="Z325" s="164">
        <f t="shared" ca="1" si="168"/>
        <v>32818.44871794901</v>
      </c>
      <c r="AA325" s="272">
        <f t="shared" ca="1" si="185"/>
        <v>0.22</v>
      </c>
      <c r="AB325" s="16">
        <f t="shared" ca="1" si="169"/>
        <v>8389.2229722996708</v>
      </c>
      <c r="AC325" s="16">
        <f t="shared" ca="1" si="170"/>
        <v>8389.2229722996799</v>
      </c>
      <c r="AD325" s="197"/>
      <c r="AE325" s="274">
        <f t="shared" ca="1" si="171"/>
        <v>1.6821425527395739E-3</v>
      </c>
      <c r="AF325" s="166">
        <f t="shared" ca="1" si="172"/>
        <v>0.59639469239263243</v>
      </c>
      <c r="AG325" s="16">
        <f t="shared" ca="1" si="173"/>
        <v>5003.288053977868</v>
      </c>
      <c r="AH325" s="16">
        <f t="shared" ca="1" si="174"/>
        <v>5003.2880539778735</v>
      </c>
      <c r="AI325" s="168">
        <f t="shared" ca="1" si="175"/>
        <v>49</v>
      </c>
      <c r="AJ325" s="158">
        <f t="shared" ca="1" si="176"/>
        <v>49</v>
      </c>
      <c r="AK325" s="16">
        <f t="shared" ca="1" si="177"/>
        <v>-8441.2926830929464</v>
      </c>
      <c r="AL325" s="168">
        <f t="shared" ca="1" si="186"/>
        <v>8392.2926830929464</v>
      </c>
      <c r="AM325" s="158">
        <f t="shared" ca="1" si="187"/>
        <v>8429.8287838141005</v>
      </c>
      <c r="AN325" s="158">
        <f t="shared" ca="1" si="188"/>
        <v>8317.5631506137597</v>
      </c>
      <c r="AO325" s="169">
        <f t="shared" ca="1" si="189"/>
        <v>5</v>
      </c>
      <c r="AP325" s="169">
        <f t="shared" ca="1" si="190"/>
        <v>5</v>
      </c>
      <c r="AQ325" s="158">
        <f t="shared" ca="1" si="191"/>
        <v>0</v>
      </c>
      <c r="AR325" s="158">
        <f t="shared" ca="1" si="192"/>
        <v>37.536100721154071</v>
      </c>
      <c r="AS325" s="170"/>
      <c r="AT325" s="159"/>
      <c r="AU325" s="159"/>
    </row>
    <row r="326" spans="1:47" x14ac:dyDescent="0.6">
      <c r="A326" s="171" t="str">
        <f t="shared" ca="1" si="158"/>
        <v>September 2050</v>
      </c>
      <c r="B326" s="191">
        <v>0</v>
      </c>
      <c r="C326" s="269">
        <f t="shared" ca="1" si="178"/>
        <v>5.4899999999999997E-2</v>
      </c>
      <c r="D326" s="173" t="str">
        <f t="shared" ca="1" si="179"/>
        <v/>
      </c>
      <c r="E326" s="174" t="str">
        <f t="shared" ca="1" si="180"/>
        <v/>
      </c>
      <c r="F326" s="175">
        <f t="shared" ca="1" si="181"/>
        <v>49</v>
      </c>
      <c r="G326" s="10">
        <v>309</v>
      </c>
      <c r="H326" s="176">
        <f t="shared" ca="1" si="182"/>
        <v>4</v>
      </c>
      <c r="I326" s="12">
        <f t="shared" ca="1" si="183"/>
        <v>8354.7565823717923</v>
      </c>
      <c r="J326" s="12">
        <f t="shared" ca="1" si="159"/>
        <v>150.14440288464561</v>
      </c>
      <c r="K326" s="177">
        <f t="shared" ca="1" si="160"/>
        <v>8204.6121794871469</v>
      </c>
      <c r="L326" s="177">
        <f t="shared" ca="1" si="161"/>
        <v>24613.836538468178</v>
      </c>
      <c r="M326" s="11">
        <f t="shared" ca="1" si="162"/>
        <v>-2.8904878490720876E-11</v>
      </c>
      <c r="N326" s="12">
        <f ca="1">IF(Y326=0, 0, ROUND(SUM(Y$17:Y326)-SUM(J$17:J326),0))</f>
        <v>0</v>
      </c>
      <c r="O326" s="12" t="str">
        <f t="shared" ca="1" si="163"/>
        <v/>
      </c>
      <c r="P326" s="12">
        <f t="shared" ca="1" si="164"/>
        <v>4970000</v>
      </c>
      <c r="Q326" s="178">
        <f t="shared" ca="1" si="195"/>
        <v>5000000</v>
      </c>
      <c r="R326" s="178">
        <f t="shared" ca="1" si="195"/>
        <v>0</v>
      </c>
      <c r="S326" s="178">
        <f t="shared" ca="1" si="195"/>
        <v>358488</v>
      </c>
      <c r="T326" s="178">
        <f t="shared" ca="1" si="195"/>
        <v>628000</v>
      </c>
      <c r="U326" s="179" t="str">
        <f t="shared" ca="1" si="165"/>
        <v/>
      </c>
      <c r="V326" s="180">
        <f t="shared" ca="1" si="157"/>
        <v>0.62</v>
      </c>
      <c r="W326" s="181">
        <f t="shared" ca="1" si="184"/>
        <v>4</v>
      </c>
      <c r="X326" s="177">
        <f t="shared" ca="1" si="166"/>
        <v>8354.756582371796</v>
      </c>
      <c r="Y326" s="12">
        <f t="shared" ca="1" si="167"/>
        <v>150.14440288461671</v>
      </c>
      <c r="Z326" s="182">
        <f t="shared" ca="1" si="168"/>
        <v>24613.83653846183</v>
      </c>
      <c r="AA326" s="271">
        <f t="shared" ca="1" si="185"/>
        <v>0.22</v>
      </c>
      <c r="AB326" s="12">
        <f t="shared" ca="1" si="169"/>
        <v>8359.944813737171</v>
      </c>
      <c r="AC326" s="12">
        <f t="shared" ca="1" si="170"/>
        <v>8359.9448137371801</v>
      </c>
      <c r="AD326" s="199"/>
      <c r="AE326" s="273">
        <f t="shared" ca="1" si="171"/>
        <v>1.6821425527395739E-3</v>
      </c>
      <c r="AF326" s="184">
        <f t="shared" ca="1" si="172"/>
        <v>0.59539147150233074</v>
      </c>
      <c r="AG326" s="12">
        <f t="shared" ca="1" si="173"/>
        <v>4977.4398443292521</v>
      </c>
      <c r="AH326" s="12">
        <f t="shared" ca="1" si="174"/>
        <v>4977.4398443292575</v>
      </c>
      <c r="AI326" s="185">
        <f t="shared" ca="1" si="175"/>
        <v>49</v>
      </c>
      <c r="AJ326" s="177">
        <f t="shared" ca="1" si="176"/>
        <v>49</v>
      </c>
      <c r="AK326" s="12">
        <f t="shared" ca="1" si="177"/>
        <v>-8403.7565823717923</v>
      </c>
      <c r="AL326" s="185">
        <f t="shared" ca="1" si="186"/>
        <v>8354.7565823717923</v>
      </c>
      <c r="AM326" s="177">
        <f t="shared" ca="1" si="187"/>
        <v>8392.2926830929464</v>
      </c>
      <c r="AN326" s="177">
        <f t="shared" ca="1" si="188"/>
        <v>8298.6666000621808</v>
      </c>
      <c r="AO326" s="196">
        <f t="shared" ca="1" si="189"/>
        <v>4</v>
      </c>
      <c r="AP326" s="196">
        <f t="shared" ca="1" si="190"/>
        <v>4</v>
      </c>
      <c r="AQ326" s="177">
        <f t="shared" ca="1" si="191"/>
        <v>0</v>
      </c>
      <c r="AR326" s="177">
        <f t="shared" ca="1" si="192"/>
        <v>37.536100721154071</v>
      </c>
      <c r="AS326" s="189"/>
      <c r="AT326" s="190"/>
      <c r="AU326" s="190"/>
    </row>
    <row r="327" spans="1:47" x14ac:dyDescent="0.6">
      <c r="A327" s="152" t="str">
        <f t="shared" ca="1" si="158"/>
        <v>Oktober 2050</v>
      </c>
      <c r="B327" s="191">
        <v>0</v>
      </c>
      <c r="C327" s="270">
        <f t="shared" ca="1" si="178"/>
        <v>5.4899999999999997E-2</v>
      </c>
      <c r="D327" s="192" t="str">
        <f t="shared" ca="1" si="179"/>
        <v/>
      </c>
      <c r="E327" s="193" t="str">
        <f t="shared" ca="1" si="180"/>
        <v/>
      </c>
      <c r="F327" s="194">
        <f t="shared" ca="1" si="181"/>
        <v>49</v>
      </c>
      <c r="G327" s="14">
        <v>310</v>
      </c>
      <c r="H327" s="157">
        <f t="shared" ca="1" si="182"/>
        <v>3</v>
      </c>
      <c r="I327" s="16">
        <f t="shared" ca="1" si="183"/>
        <v>8317.2204816506382</v>
      </c>
      <c r="J327" s="16">
        <f t="shared" ca="1" si="159"/>
        <v>112.6083021634919</v>
      </c>
      <c r="K327" s="158">
        <f t="shared" ca="1" si="160"/>
        <v>8204.6121794871469</v>
      </c>
      <c r="L327" s="158">
        <f t="shared" ca="1" si="161"/>
        <v>16409.224358981031</v>
      </c>
      <c r="M327" s="15">
        <f t="shared" ca="1" si="162"/>
        <v>-2.9018565328442492E-11</v>
      </c>
      <c r="N327" s="16">
        <f ca="1">IF(Y327=0, 0, ROUND(SUM(Y$17:Y327)-SUM(J$17:J327),0))</f>
        <v>0</v>
      </c>
      <c r="O327" s="16" t="str">
        <f t="shared" ca="1" si="163"/>
        <v/>
      </c>
      <c r="P327" s="16">
        <f t="shared" ca="1" si="164"/>
        <v>4980000</v>
      </c>
      <c r="Q327" s="160">
        <f t="shared" ca="1" si="195"/>
        <v>5000000</v>
      </c>
      <c r="R327" s="160">
        <f t="shared" ca="1" si="195"/>
        <v>0</v>
      </c>
      <c r="S327" s="160">
        <f t="shared" ca="1" si="195"/>
        <v>358488</v>
      </c>
      <c r="T327" s="160">
        <f t="shared" ca="1" si="195"/>
        <v>628000</v>
      </c>
      <c r="U327" s="161" t="str">
        <f t="shared" ca="1" si="165"/>
        <v/>
      </c>
      <c r="V327" s="162">
        <f t="shared" ca="1" si="157"/>
        <v>0.6</v>
      </c>
      <c r="W327" s="195">
        <f t="shared" ca="1" si="184"/>
        <v>3</v>
      </c>
      <c r="X327" s="158">
        <f t="shared" ca="1" si="166"/>
        <v>8317.2204816506419</v>
      </c>
      <c r="Y327" s="16">
        <f t="shared" ca="1" si="167"/>
        <v>112.60830216346288</v>
      </c>
      <c r="Z327" s="164">
        <f t="shared" ca="1" si="168"/>
        <v>16409.22435897465</v>
      </c>
      <c r="AA327" s="272">
        <f t="shared" ca="1" si="185"/>
        <v>0.22</v>
      </c>
      <c r="AB327" s="16">
        <f t="shared" ca="1" si="169"/>
        <v>8330.6666551746712</v>
      </c>
      <c r="AC327" s="16">
        <f t="shared" ca="1" si="170"/>
        <v>8330.6666551746803</v>
      </c>
      <c r="AD327" s="197"/>
      <c r="AE327" s="274">
        <f t="shared" ca="1" si="171"/>
        <v>1.6821425527395739E-3</v>
      </c>
      <c r="AF327" s="166">
        <f t="shared" ca="1" si="172"/>
        <v>0.59438993817257846</v>
      </c>
      <c r="AG327" s="16">
        <f t="shared" ca="1" si="173"/>
        <v>4951.664438105634</v>
      </c>
      <c r="AH327" s="16">
        <f t="shared" ca="1" si="174"/>
        <v>4951.6644381056394</v>
      </c>
      <c r="AI327" s="168">
        <f t="shared" ca="1" si="175"/>
        <v>49</v>
      </c>
      <c r="AJ327" s="158">
        <f t="shared" ca="1" si="176"/>
        <v>49</v>
      </c>
      <c r="AK327" s="16">
        <f t="shared" ca="1" si="177"/>
        <v>-8366.2204816506382</v>
      </c>
      <c r="AL327" s="168">
        <f t="shared" ca="1" si="186"/>
        <v>8317.2204816506382</v>
      </c>
      <c r="AM327" s="158">
        <f t="shared" ca="1" si="187"/>
        <v>8354.7565823717923</v>
      </c>
      <c r="AN327" s="158">
        <f t="shared" ca="1" si="188"/>
        <v>8279.798604553609</v>
      </c>
      <c r="AO327" s="169">
        <f t="shared" ca="1" si="189"/>
        <v>3</v>
      </c>
      <c r="AP327" s="169">
        <f t="shared" ca="1" si="190"/>
        <v>3</v>
      </c>
      <c r="AQ327" s="158">
        <f t="shared" ca="1" si="191"/>
        <v>0</v>
      </c>
      <c r="AR327" s="158">
        <f t="shared" ca="1" si="192"/>
        <v>37.536100721154071</v>
      </c>
      <c r="AS327" s="170"/>
      <c r="AT327" s="159"/>
      <c r="AU327" s="159"/>
    </row>
    <row r="328" spans="1:47" x14ac:dyDescent="0.6">
      <c r="A328" s="171" t="str">
        <f t="shared" ca="1" si="158"/>
        <v>November 2050</v>
      </c>
      <c r="B328" s="191">
        <v>0</v>
      </c>
      <c r="C328" s="269">
        <f t="shared" ca="1" si="178"/>
        <v>5.4899999999999997E-2</v>
      </c>
      <c r="D328" s="173" t="str">
        <f t="shared" ca="1" si="179"/>
        <v/>
      </c>
      <c r="E328" s="174" t="str">
        <f t="shared" ca="1" si="180"/>
        <v/>
      </c>
      <c r="F328" s="175">
        <f t="shared" ca="1" si="181"/>
        <v>49</v>
      </c>
      <c r="G328" s="10">
        <v>311</v>
      </c>
      <c r="H328" s="176">
        <f t="shared" ca="1" si="182"/>
        <v>2</v>
      </c>
      <c r="I328" s="12">
        <f t="shared" ca="1" si="183"/>
        <v>8279.684380929486</v>
      </c>
      <c r="J328" s="12">
        <f t="shared" ca="1" si="159"/>
        <v>75.072201442338212</v>
      </c>
      <c r="K328" s="177">
        <f t="shared" ca="1" si="160"/>
        <v>8204.6121794871469</v>
      </c>
      <c r="L328" s="177">
        <f t="shared" ca="1" si="161"/>
        <v>8204.6121794938845</v>
      </c>
      <c r="M328" s="11">
        <f t="shared" ca="1" si="162"/>
        <v>-2.9189095585024916E-11</v>
      </c>
      <c r="N328" s="12">
        <f ca="1">IF(Y328=0, 0, ROUND(SUM(Y$17:Y328)-SUM(J$17:J328),0))</f>
        <v>0</v>
      </c>
      <c r="O328" s="12" t="str">
        <f t="shared" ca="1" si="163"/>
        <v/>
      </c>
      <c r="P328" s="12">
        <f t="shared" ca="1" si="164"/>
        <v>4990000</v>
      </c>
      <c r="Q328" s="178">
        <f t="shared" ca="1" si="195"/>
        <v>5000000</v>
      </c>
      <c r="R328" s="178">
        <f t="shared" ca="1" si="195"/>
        <v>0</v>
      </c>
      <c r="S328" s="178">
        <f t="shared" ca="1" si="195"/>
        <v>358488</v>
      </c>
      <c r="T328" s="178">
        <f t="shared" ca="1" si="195"/>
        <v>628000</v>
      </c>
      <c r="U328" s="179" t="str">
        <f t="shared" ca="1" si="165"/>
        <v/>
      </c>
      <c r="V328" s="180">
        <f t="shared" ca="1" si="157"/>
        <v>0.59</v>
      </c>
      <c r="W328" s="181">
        <f t="shared" ca="1" si="184"/>
        <v>2</v>
      </c>
      <c r="X328" s="177">
        <f t="shared" ca="1" si="166"/>
        <v>8279.6843809294878</v>
      </c>
      <c r="Y328" s="12">
        <f t="shared" ca="1" si="167"/>
        <v>75.072201442309023</v>
      </c>
      <c r="Z328" s="182">
        <f t="shared" ca="1" si="168"/>
        <v>8204.6121794874707</v>
      </c>
      <c r="AA328" s="271">
        <f t="shared" ca="1" si="185"/>
        <v>0.22</v>
      </c>
      <c r="AB328" s="12">
        <f t="shared" ca="1" si="169"/>
        <v>8301.3884966121714</v>
      </c>
      <c r="AC328" s="12">
        <f t="shared" ca="1" si="170"/>
        <v>8301.3884966121805</v>
      </c>
      <c r="AD328" s="199"/>
      <c r="AE328" s="273">
        <f t="shared" ca="1" si="171"/>
        <v>1.6821425527395739E-3</v>
      </c>
      <c r="AF328" s="184">
        <f t="shared" ca="1" si="172"/>
        <v>0.59339008956465811</v>
      </c>
      <c r="AG328" s="12">
        <f t="shared" ca="1" si="173"/>
        <v>4925.961663515719</v>
      </c>
      <c r="AH328" s="12">
        <f t="shared" ca="1" si="174"/>
        <v>4925.9616635157245</v>
      </c>
      <c r="AI328" s="185">
        <f t="shared" ca="1" si="175"/>
        <v>49</v>
      </c>
      <c r="AJ328" s="177">
        <f t="shared" ca="1" si="176"/>
        <v>49</v>
      </c>
      <c r="AK328" s="12">
        <f t="shared" ca="1" si="177"/>
        <v>-8328.684380929486</v>
      </c>
      <c r="AL328" s="185">
        <f t="shared" ca="1" si="186"/>
        <v>8279.684380929486</v>
      </c>
      <c r="AM328" s="177">
        <f t="shared" ca="1" si="187"/>
        <v>8317.2204816506382</v>
      </c>
      <c r="AN328" s="177">
        <f t="shared" ca="1" si="188"/>
        <v>8260.9591645048458</v>
      </c>
      <c r="AO328" s="196">
        <f t="shared" ca="1" si="189"/>
        <v>2</v>
      </c>
      <c r="AP328" s="196">
        <f t="shared" ca="1" si="190"/>
        <v>2</v>
      </c>
      <c r="AQ328" s="177">
        <f t="shared" ca="1" si="191"/>
        <v>0</v>
      </c>
      <c r="AR328" s="177">
        <f t="shared" ca="1" si="192"/>
        <v>37.536100721152252</v>
      </c>
      <c r="AS328" s="189"/>
      <c r="AT328" s="190"/>
      <c r="AU328" s="190"/>
    </row>
    <row r="329" spans="1:47" x14ac:dyDescent="0.6">
      <c r="A329" s="152" t="str">
        <f t="shared" ca="1" si="158"/>
        <v>Desember 2050</v>
      </c>
      <c r="B329" s="191">
        <v>0</v>
      </c>
      <c r="C329" s="270">
        <f t="shared" ca="1" si="178"/>
        <v>5.4899999999999997E-2</v>
      </c>
      <c r="D329" s="192" t="str">
        <f t="shared" ca="1" si="179"/>
        <v/>
      </c>
      <c r="E329" s="193" t="str">
        <f t="shared" ca="1" si="180"/>
        <v/>
      </c>
      <c r="F329" s="194">
        <f t="shared" ca="1" si="181"/>
        <v>49</v>
      </c>
      <c r="G329" s="14">
        <v>312</v>
      </c>
      <c r="H329" s="157">
        <f t="shared" ca="1" si="182"/>
        <v>1</v>
      </c>
      <c r="I329" s="16">
        <f t="shared" ca="1" si="183"/>
        <v>8242.1482802150695</v>
      </c>
      <c r="J329" s="16">
        <f t="shared" ca="1" si="159"/>
        <v>37.536100721184518</v>
      </c>
      <c r="K329" s="158">
        <f t="shared" ca="1" si="160"/>
        <v>8204.6121794938845</v>
      </c>
      <c r="L329" s="158">
        <f t="shared" ca="1" si="161"/>
        <v>0</v>
      </c>
      <c r="M329" s="15">
        <f t="shared" ca="1" si="162"/>
        <v>-2.9345414986892138E-11</v>
      </c>
      <c r="N329" s="16">
        <f ca="1">IF(Y329=0, 0, ROUND(SUM(Y$17:Y329)-SUM(J$17:J329),0))</f>
        <v>0</v>
      </c>
      <c r="O329" s="16" t="str">
        <f t="shared" ca="1" si="163"/>
        <v/>
      </c>
      <c r="P329" s="16">
        <f t="shared" ca="1" si="164"/>
        <v>5000000</v>
      </c>
      <c r="Q329" s="160">
        <f t="shared" ca="1" si="195"/>
        <v>5000000</v>
      </c>
      <c r="R329" s="160">
        <f t="shared" ca="1" si="195"/>
        <v>0</v>
      </c>
      <c r="S329" s="160">
        <f t="shared" ca="1" si="195"/>
        <v>358488</v>
      </c>
      <c r="T329" s="160">
        <f t="shared" ca="1" si="195"/>
        <v>628000</v>
      </c>
      <c r="U329" s="161" t="str">
        <f t="shared" ca="1" si="165"/>
        <v/>
      </c>
      <c r="V329" s="162">
        <f t="shared" ca="1" si="157"/>
        <v>0.57999999999999996</v>
      </c>
      <c r="W329" s="195">
        <f t="shared" ca="1" si="184"/>
        <v>1</v>
      </c>
      <c r="X329" s="158">
        <f t="shared" ca="1" si="166"/>
        <v>8242.1482802083356</v>
      </c>
      <c r="Y329" s="16">
        <f t="shared" ca="1" si="167"/>
        <v>37.536100721155172</v>
      </c>
      <c r="Z329" s="164">
        <f t="shared" ca="1" si="168"/>
        <v>0</v>
      </c>
      <c r="AA329" s="272">
        <f t="shared" ca="1" si="185"/>
        <v>0.22</v>
      </c>
      <c r="AB329" s="16">
        <f t="shared" ca="1" si="169"/>
        <v>8272.1103380564091</v>
      </c>
      <c r="AC329" s="16">
        <f t="shared" ca="1" si="170"/>
        <v>8272.1103380496806</v>
      </c>
      <c r="AD329" s="197"/>
      <c r="AE329" s="274">
        <f t="shared" ca="1" si="171"/>
        <v>1.6821425527395739E-3</v>
      </c>
      <c r="AF329" s="166">
        <f t="shared" ca="1" si="172"/>
        <v>0.59239192284462749</v>
      </c>
      <c r="AG329" s="16">
        <f t="shared" ca="1" si="173"/>
        <v>4900.3313491441577</v>
      </c>
      <c r="AH329" s="16">
        <f t="shared" ca="1" si="174"/>
        <v>4900.3313491401723</v>
      </c>
      <c r="AI329" s="168">
        <f t="shared" ca="1" si="175"/>
        <v>49</v>
      </c>
      <c r="AJ329" s="158">
        <f t="shared" ca="1" si="176"/>
        <v>49</v>
      </c>
      <c r="AK329" s="16">
        <f t="shared" ca="1" si="177"/>
        <v>-8291.1482802150695</v>
      </c>
      <c r="AL329" s="168">
        <f t="shared" ca="1" si="186"/>
        <v>8242.1482802083319</v>
      </c>
      <c r="AM329" s="158">
        <f t="shared" ca="1" si="187"/>
        <v>8279.684380929486</v>
      </c>
      <c r="AN329" s="158">
        <f t="shared" ca="1" si="188"/>
        <v>8242.1482802150676</v>
      </c>
      <c r="AO329" s="169">
        <f t="shared" ca="1" si="189"/>
        <v>1</v>
      </c>
      <c r="AP329" s="169">
        <f t="shared" ca="1" si="190"/>
        <v>1</v>
      </c>
      <c r="AQ329" s="158">
        <f t="shared" ca="1" si="191"/>
        <v>0</v>
      </c>
      <c r="AR329" s="158">
        <f t="shared" ca="1" si="192"/>
        <v>0</v>
      </c>
      <c r="AS329" s="170"/>
      <c r="AT329" s="159"/>
      <c r="AU329" s="159"/>
    </row>
    <row r="330" spans="1:47" x14ac:dyDescent="0.6">
      <c r="A330" s="171" t="str">
        <f t="shared" ca="1" si="158"/>
        <v>Januar 2051</v>
      </c>
      <c r="B330" s="191">
        <v>0</v>
      </c>
      <c r="C330" s="269">
        <f t="shared" ca="1" si="178"/>
        <v>5.4899999999999997E-2</v>
      </c>
      <c r="D330" s="173" t="str">
        <f t="shared" ca="1" si="179"/>
        <v/>
      </c>
      <c r="E330" s="174" t="str">
        <f t="shared" ca="1" si="180"/>
        <v/>
      </c>
      <c r="F330" s="175">
        <f t="shared" ca="1" si="181"/>
        <v>49</v>
      </c>
      <c r="G330" s="10">
        <v>313</v>
      </c>
      <c r="H330" s="176">
        <f t="shared" ca="1" si="182"/>
        <v>0</v>
      </c>
      <c r="I330" s="12">
        <f t="shared" ca="1" si="183"/>
        <v>0</v>
      </c>
      <c r="J330" s="12">
        <f t="shared" ca="1" si="159"/>
        <v>0</v>
      </c>
      <c r="K330" s="177">
        <f t="shared" ca="1" si="160"/>
        <v>0</v>
      </c>
      <c r="L330" s="177">
        <f t="shared" ca="1" si="161"/>
        <v>0</v>
      </c>
      <c r="M330" s="11">
        <f t="shared" ca="1" si="162"/>
        <v>0</v>
      </c>
      <c r="N330" s="12">
        <f ca="1">IF(Y330=0, 0, ROUND(SUM(Y$17:Y330)-SUM(J$17:J330),0))</f>
        <v>0</v>
      </c>
      <c r="O330" s="12" t="str">
        <f t="shared" ca="1" si="163"/>
        <v/>
      </c>
      <c r="P330" s="12" t="str">
        <f t="shared" ca="1" si="164"/>
        <v/>
      </c>
      <c r="Q330" s="178">
        <f t="shared" ca="1" si="195"/>
        <v>5000000</v>
      </c>
      <c r="R330" s="178">
        <f t="shared" ca="1" si="195"/>
        <v>0</v>
      </c>
      <c r="S330" s="178">
        <f t="shared" ca="1" si="195"/>
        <v>358488</v>
      </c>
      <c r="T330" s="178">
        <f t="shared" ca="1" si="195"/>
        <v>628000</v>
      </c>
      <c r="U330" s="179" t="str">
        <f t="shared" ca="1" si="165"/>
        <v/>
      </c>
      <c r="V330" s="180">
        <f t="shared" ca="1" si="157"/>
        <v>0.57999999999999996</v>
      </c>
      <c r="W330" s="181">
        <f t="shared" ca="1" si="184"/>
        <v>0</v>
      </c>
      <c r="X330" s="177">
        <f t="shared" ca="1" si="166"/>
        <v>0</v>
      </c>
      <c r="Y330" s="12">
        <f t="shared" ca="1" si="167"/>
        <v>0</v>
      </c>
      <c r="Z330" s="182">
        <f t="shared" ca="1" si="168"/>
        <v>0</v>
      </c>
      <c r="AA330" s="271">
        <f t="shared" ca="1" si="185"/>
        <v>0.22</v>
      </c>
      <c r="AB330" s="12">
        <f t="shared" ca="1" si="169"/>
        <v>0</v>
      </c>
      <c r="AC330" s="12">
        <f t="shared" ca="1" si="170"/>
        <v>0</v>
      </c>
      <c r="AD330" s="199"/>
      <c r="AE330" s="273">
        <f t="shared" ca="1" si="171"/>
        <v>1.6821425527395739E-3</v>
      </c>
      <c r="AF330" s="184">
        <f t="shared" ca="1" si="172"/>
        <v>0.59139543518331128</v>
      </c>
      <c r="AG330" s="12">
        <f t="shared" ca="1" si="173"/>
        <v>0</v>
      </c>
      <c r="AH330" s="12">
        <f t="shared" ca="1" si="174"/>
        <v>0</v>
      </c>
      <c r="AI330" s="185">
        <f t="shared" ca="1" si="175"/>
        <v>0</v>
      </c>
      <c r="AJ330" s="177">
        <f t="shared" ca="1" si="176"/>
        <v>0</v>
      </c>
      <c r="AK330" s="12">
        <f t="shared" ca="1" si="177"/>
        <v>0</v>
      </c>
      <c r="AL330" s="185">
        <f t="shared" ca="1" si="186"/>
        <v>8204.6121794938845</v>
      </c>
      <c r="AM330" s="177">
        <f t="shared" ca="1" si="187"/>
        <v>8242.1482802150695</v>
      </c>
      <c r="AN330" s="177" t="e">
        <f t="shared" ca="1" si="188"/>
        <v>#NUM!</v>
      </c>
      <c r="AO330" s="196">
        <f t="shared" ca="1" si="189"/>
        <v>0</v>
      </c>
      <c r="AP330" s="196">
        <f t="shared" ca="1" si="190"/>
        <v>0</v>
      </c>
      <c r="AQ330" s="177">
        <f t="shared" ca="1" si="191"/>
        <v>0</v>
      </c>
      <c r="AR330" s="177">
        <f t="shared" ca="1" si="192"/>
        <v>0</v>
      </c>
      <c r="AS330" s="189"/>
      <c r="AT330" s="190"/>
      <c r="AU330" s="190"/>
    </row>
    <row r="331" spans="1:47" x14ac:dyDescent="0.6">
      <c r="A331" s="152" t="str">
        <f t="shared" ca="1" si="158"/>
        <v>Februar 2051</v>
      </c>
      <c r="B331" s="191">
        <v>0</v>
      </c>
      <c r="C331" s="270">
        <f t="shared" ca="1" si="178"/>
        <v>5.4899999999999997E-2</v>
      </c>
      <c r="D331" s="192" t="str">
        <f t="shared" ca="1" si="179"/>
        <v/>
      </c>
      <c r="E331" s="193" t="str">
        <f t="shared" ca="1" si="180"/>
        <v/>
      </c>
      <c r="F331" s="194">
        <f t="shared" ca="1" si="181"/>
        <v>49</v>
      </c>
      <c r="G331" s="14">
        <v>314</v>
      </c>
      <c r="H331" s="157">
        <f t="shared" ca="1" si="182"/>
        <v>0</v>
      </c>
      <c r="I331" s="16">
        <f t="shared" ca="1" si="183"/>
        <v>0</v>
      </c>
      <c r="J331" s="16">
        <f t="shared" ca="1" si="159"/>
        <v>0</v>
      </c>
      <c r="K331" s="158">
        <f t="shared" ca="1" si="160"/>
        <v>0</v>
      </c>
      <c r="L331" s="158">
        <f t="shared" ca="1" si="161"/>
        <v>0</v>
      </c>
      <c r="M331" s="15">
        <f t="shared" ca="1" si="162"/>
        <v>0</v>
      </c>
      <c r="N331" s="16">
        <f ca="1">IF(Y331=0, 0, ROUND(SUM(Y$17:Y331)-SUM(J$17:J331),0))</f>
        <v>0</v>
      </c>
      <c r="O331" s="16" t="str">
        <f t="shared" ca="1" si="163"/>
        <v/>
      </c>
      <c r="P331" s="16" t="str">
        <f t="shared" ca="1" si="164"/>
        <v/>
      </c>
      <c r="Q331" s="160">
        <f t="shared" ca="1" si="195"/>
        <v>5000000</v>
      </c>
      <c r="R331" s="160">
        <f t="shared" ca="1" si="195"/>
        <v>0</v>
      </c>
      <c r="S331" s="160">
        <f t="shared" ca="1" si="195"/>
        <v>358488</v>
      </c>
      <c r="T331" s="160">
        <f t="shared" ca="1" si="195"/>
        <v>628000</v>
      </c>
      <c r="U331" s="161" t="str">
        <f t="shared" ca="1" si="165"/>
        <v/>
      </c>
      <c r="V331" s="162">
        <f t="shared" ca="1" si="157"/>
        <v>0.57999999999999996</v>
      </c>
      <c r="W331" s="195">
        <f t="shared" ca="1" si="184"/>
        <v>0</v>
      </c>
      <c r="X331" s="158">
        <f t="shared" ca="1" si="166"/>
        <v>0</v>
      </c>
      <c r="Y331" s="16">
        <f t="shared" ca="1" si="167"/>
        <v>0</v>
      </c>
      <c r="Z331" s="164">
        <f t="shared" ca="1" si="168"/>
        <v>0</v>
      </c>
      <c r="AA331" s="272">
        <f t="shared" ca="1" si="185"/>
        <v>0.22</v>
      </c>
      <c r="AB331" s="16">
        <f t="shared" ca="1" si="169"/>
        <v>0</v>
      </c>
      <c r="AC331" s="16">
        <f t="shared" ca="1" si="170"/>
        <v>0</v>
      </c>
      <c r="AD331" s="197"/>
      <c r="AE331" s="274">
        <f t="shared" ca="1" si="171"/>
        <v>1.6821425527395739E-3</v>
      </c>
      <c r="AF331" s="166">
        <f t="shared" ca="1" si="172"/>
        <v>0.59040062375629354</v>
      </c>
      <c r="AG331" s="16">
        <f t="shared" ca="1" si="173"/>
        <v>0</v>
      </c>
      <c r="AH331" s="16">
        <f t="shared" ca="1" si="174"/>
        <v>0</v>
      </c>
      <c r="AI331" s="168">
        <f t="shared" ca="1" si="175"/>
        <v>0</v>
      </c>
      <c r="AJ331" s="158">
        <f t="shared" ca="1" si="176"/>
        <v>0</v>
      </c>
      <c r="AK331" s="16">
        <f t="shared" ca="1" si="177"/>
        <v>0</v>
      </c>
      <c r="AL331" s="168">
        <f t="shared" ca="1" si="186"/>
        <v>0</v>
      </c>
      <c r="AM331" s="158">
        <f t="shared" ca="1" si="187"/>
        <v>0</v>
      </c>
      <c r="AN331" s="158">
        <f t="shared" ca="1" si="188"/>
        <v>0</v>
      </c>
      <c r="AO331" s="169" t="e">
        <f t="shared" ca="1" si="189"/>
        <v>#DIV/0!</v>
      </c>
      <c r="AP331" s="169" t="e">
        <f t="shared" ca="1" si="190"/>
        <v>#NUM!</v>
      </c>
      <c r="AQ331" s="158">
        <f t="shared" ca="1" si="191"/>
        <v>0</v>
      </c>
      <c r="AR331" s="158">
        <f t="shared" ca="1" si="192"/>
        <v>0</v>
      </c>
      <c r="AS331" s="170"/>
      <c r="AT331" s="159"/>
      <c r="AU331" s="159"/>
    </row>
    <row r="332" spans="1:47" x14ac:dyDescent="0.6">
      <c r="A332" s="171" t="str">
        <f t="shared" ca="1" si="158"/>
        <v>Mars 2051</v>
      </c>
      <c r="B332" s="191">
        <v>0</v>
      </c>
      <c r="C332" s="269">
        <f t="shared" ca="1" si="178"/>
        <v>5.4899999999999997E-2</v>
      </c>
      <c r="D332" s="173" t="str">
        <f t="shared" ca="1" si="179"/>
        <v/>
      </c>
      <c r="E332" s="174" t="str">
        <f t="shared" ca="1" si="180"/>
        <v/>
      </c>
      <c r="F332" s="175">
        <f t="shared" ca="1" si="181"/>
        <v>49</v>
      </c>
      <c r="G332" s="10">
        <v>315</v>
      </c>
      <c r="H332" s="176">
        <f t="shared" ca="1" si="182"/>
        <v>0</v>
      </c>
      <c r="I332" s="12">
        <f t="shared" ca="1" si="183"/>
        <v>0</v>
      </c>
      <c r="J332" s="12">
        <f t="shared" ca="1" si="159"/>
        <v>0</v>
      </c>
      <c r="K332" s="177">
        <f t="shared" ca="1" si="160"/>
        <v>0</v>
      </c>
      <c r="L332" s="177">
        <f t="shared" ca="1" si="161"/>
        <v>0</v>
      </c>
      <c r="M332" s="11">
        <f t="shared" ca="1" si="162"/>
        <v>0</v>
      </c>
      <c r="N332" s="12">
        <f ca="1">IF(Y332=0, 0, ROUND(SUM(Y$17:Y332)-SUM(J$17:J332),0))</f>
        <v>0</v>
      </c>
      <c r="O332" s="12" t="str">
        <f t="shared" ca="1" si="163"/>
        <v/>
      </c>
      <c r="P332" s="12" t="str">
        <f t="shared" ca="1" si="164"/>
        <v/>
      </c>
      <c r="Q332" s="178">
        <f t="shared" ca="1" si="195"/>
        <v>5000000</v>
      </c>
      <c r="R332" s="178">
        <f t="shared" ca="1" si="195"/>
        <v>0</v>
      </c>
      <c r="S332" s="178">
        <f t="shared" ca="1" si="195"/>
        <v>358488</v>
      </c>
      <c r="T332" s="178">
        <f t="shared" ca="1" si="195"/>
        <v>628000</v>
      </c>
      <c r="U332" s="179" t="str">
        <f t="shared" ca="1" si="165"/>
        <v/>
      </c>
      <c r="V332" s="180">
        <f t="shared" ca="1" si="157"/>
        <v>0.57999999999999996</v>
      </c>
      <c r="W332" s="181">
        <f t="shared" ca="1" si="184"/>
        <v>0</v>
      </c>
      <c r="X332" s="177">
        <f t="shared" ca="1" si="166"/>
        <v>0</v>
      </c>
      <c r="Y332" s="12">
        <f t="shared" ca="1" si="167"/>
        <v>0</v>
      </c>
      <c r="Z332" s="182">
        <f t="shared" ca="1" si="168"/>
        <v>0</v>
      </c>
      <c r="AA332" s="271">
        <f t="shared" ca="1" si="185"/>
        <v>0.22</v>
      </c>
      <c r="AB332" s="12">
        <f t="shared" ca="1" si="169"/>
        <v>0</v>
      </c>
      <c r="AC332" s="12">
        <f t="shared" ca="1" si="170"/>
        <v>0</v>
      </c>
      <c r="AD332" s="199"/>
      <c r="AE332" s="273">
        <f t="shared" ca="1" si="171"/>
        <v>1.6821425527395739E-3</v>
      </c>
      <c r="AF332" s="184">
        <f t="shared" ca="1" si="172"/>
        <v>0.58940748574390911</v>
      </c>
      <c r="AG332" s="12">
        <f t="shared" ca="1" si="173"/>
        <v>0</v>
      </c>
      <c r="AH332" s="12">
        <f t="shared" ca="1" si="174"/>
        <v>0</v>
      </c>
      <c r="AI332" s="185">
        <f t="shared" ca="1" si="175"/>
        <v>0</v>
      </c>
      <c r="AJ332" s="177">
        <f t="shared" ca="1" si="176"/>
        <v>0</v>
      </c>
      <c r="AK332" s="12">
        <f t="shared" ca="1" si="177"/>
        <v>0</v>
      </c>
      <c r="AL332" s="185">
        <f t="shared" ca="1" si="186"/>
        <v>0</v>
      </c>
      <c r="AM332" s="177">
        <f t="shared" ca="1" si="187"/>
        <v>0</v>
      </c>
      <c r="AN332" s="177">
        <f t="shared" ca="1" si="188"/>
        <v>0</v>
      </c>
      <c r="AO332" s="196" t="e">
        <f t="shared" ca="1" si="189"/>
        <v>#DIV/0!</v>
      </c>
      <c r="AP332" s="196" t="e">
        <f t="shared" ca="1" si="190"/>
        <v>#NUM!</v>
      </c>
      <c r="AQ332" s="177">
        <f t="shared" ca="1" si="191"/>
        <v>0</v>
      </c>
      <c r="AR332" s="177">
        <f t="shared" ca="1" si="192"/>
        <v>0</v>
      </c>
      <c r="AS332" s="189"/>
      <c r="AT332" s="190"/>
      <c r="AU332" s="190"/>
    </row>
    <row r="333" spans="1:47" x14ac:dyDescent="0.6">
      <c r="A333" s="152" t="str">
        <f t="shared" ca="1" si="158"/>
        <v>April 2051</v>
      </c>
      <c r="B333" s="191">
        <v>0</v>
      </c>
      <c r="C333" s="270">
        <f t="shared" ca="1" si="178"/>
        <v>5.4899999999999997E-2</v>
      </c>
      <c r="D333" s="192" t="str">
        <f t="shared" ca="1" si="179"/>
        <v/>
      </c>
      <c r="E333" s="193" t="str">
        <f t="shared" ca="1" si="180"/>
        <v/>
      </c>
      <c r="F333" s="194">
        <f t="shared" ca="1" si="181"/>
        <v>49</v>
      </c>
      <c r="G333" s="14">
        <v>316</v>
      </c>
      <c r="H333" s="157">
        <f t="shared" ca="1" si="182"/>
        <v>0</v>
      </c>
      <c r="I333" s="16">
        <f t="shared" ca="1" si="183"/>
        <v>0</v>
      </c>
      <c r="J333" s="16">
        <f t="shared" ca="1" si="159"/>
        <v>0</v>
      </c>
      <c r="K333" s="158">
        <f t="shared" ca="1" si="160"/>
        <v>0</v>
      </c>
      <c r="L333" s="158">
        <f t="shared" ca="1" si="161"/>
        <v>0</v>
      </c>
      <c r="M333" s="15">
        <f t="shared" ca="1" si="162"/>
        <v>0</v>
      </c>
      <c r="N333" s="16">
        <f ca="1">IF(Y333=0, 0, ROUND(SUM(Y$17:Y333)-SUM(J$17:J333),0))</f>
        <v>0</v>
      </c>
      <c r="O333" s="16" t="str">
        <f t="shared" ca="1" si="163"/>
        <v/>
      </c>
      <c r="P333" s="16" t="str">
        <f t="shared" ca="1" si="164"/>
        <v/>
      </c>
      <c r="Q333" s="160">
        <f t="shared" ca="1" si="195"/>
        <v>5000000</v>
      </c>
      <c r="R333" s="160">
        <f t="shared" ca="1" si="195"/>
        <v>0</v>
      </c>
      <c r="S333" s="160">
        <f t="shared" ca="1" si="195"/>
        <v>358488</v>
      </c>
      <c r="T333" s="160">
        <f t="shared" ca="1" si="195"/>
        <v>628000</v>
      </c>
      <c r="U333" s="161" t="str">
        <f t="shared" ca="1" si="165"/>
        <v/>
      </c>
      <c r="V333" s="162">
        <f t="shared" ca="1" si="157"/>
        <v>0.57999999999999996</v>
      </c>
      <c r="W333" s="195">
        <f t="shared" ca="1" si="184"/>
        <v>0</v>
      </c>
      <c r="X333" s="158">
        <f t="shared" ca="1" si="166"/>
        <v>0</v>
      </c>
      <c r="Y333" s="16">
        <f t="shared" ca="1" si="167"/>
        <v>0</v>
      </c>
      <c r="Z333" s="164">
        <f t="shared" ca="1" si="168"/>
        <v>0</v>
      </c>
      <c r="AA333" s="272">
        <f t="shared" ca="1" si="185"/>
        <v>0.22</v>
      </c>
      <c r="AB333" s="16">
        <f t="shared" ca="1" si="169"/>
        <v>0</v>
      </c>
      <c r="AC333" s="16">
        <f t="shared" ca="1" si="170"/>
        <v>0</v>
      </c>
      <c r="AD333" s="197"/>
      <c r="AE333" s="274">
        <f t="shared" ca="1" si="171"/>
        <v>1.6821425527395739E-3</v>
      </c>
      <c r="AF333" s="166">
        <f t="shared" ca="1" si="172"/>
        <v>0.58841601833123602</v>
      </c>
      <c r="AG333" s="16">
        <f t="shared" ca="1" si="173"/>
        <v>0</v>
      </c>
      <c r="AH333" s="16">
        <f t="shared" ca="1" si="174"/>
        <v>0</v>
      </c>
      <c r="AI333" s="168">
        <f t="shared" ca="1" si="175"/>
        <v>0</v>
      </c>
      <c r="AJ333" s="158">
        <f t="shared" ca="1" si="176"/>
        <v>0</v>
      </c>
      <c r="AK333" s="16">
        <f t="shared" ca="1" si="177"/>
        <v>0</v>
      </c>
      <c r="AL333" s="168">
        <f t="shared" ca="1" si="186"/>
        <v>0</v>
      </c>
      <c r="AM333" s="158">
        <f t="shared" ca="1" si="187"/>
        <v>0</v>
      </c>
      <c r="AN333" s="158">
        <f t="shared" ca="1" si="188"/>
        <v>0</v>
      </c>
      <c r="AO333" s="169" t="e">
        <f t="shared" ca="1" si="189"/>
        <v>#DIV/0!</v>
      </c>
      <c r="AP333" s="169" t="e">
        <f t="shared" ca="1" si="190"/>
        <v>#NUM!</v>
      </c>
      <c r="AQ333" s="158">
        <f t="shared" ca="1" si="191"/>
        <v>0</v>
      </c>
      <c r="AR333" s="158">
        <f t="shared" ca="1" si="192"/>
        <v>0</v>
      </c>
      <c r="AS333" s="170"/>
      <c r="AT333" s="159"/>
      <c r="AU333" s="159"/>
    </row>
    <row r="334" spans="1:47" x14ac:dyDescent="0.6">
      <c r="A334" s="171" t="str">
        <f t="shared" ca="1" si="158"/>
        <v>Mai 2051</v>
      </c>
      <c r="B334" s="191">
        <v>0</v>
      </c>
      <c r="C334" s="269">
        <f t="shared" ca="1" si="178"/>
        <v>5.4899999999999997E-2</v>
      </c>
      <c r="D334" s="173" t="str">
        <f t="shared" ca="1" si="179"/>
        <v/>
      </c>
      <c r="E334" s="174" t="str">
        <f t="shared" ca="1" si="180"/>
        <v/>
      </c>
      <c r="F334" s="175">
        <f t="shared" ca="1" si="181"/>
        <v>49</v>
      </c>
      <c r="G334" s="10">
        <v>317</v>
      </c>
      <c r="H334" s="176">
        <f t="shared" ca="1" si="182"/>
        <v>0</v>
      </c>
      <c r="I334" s="12">
        <f t="shared" ca="1" si="183"/>
        <v>0</v>
      </c>
      <c r="J334" s="12">
        <f t="shared" ca="1" si="159"/>
        <v>0</v>
      </c>
      <c r="K334" s="177">
        <f t="shared" ca="1" si="160"/>
        <v>0</v>
      </c>
      <c r="L334" s="177">
        <f t="shared" ca="1" si="161"/>
        <v>0</v>
      </c>
      <c r="M334" s="11">
        <f t="shared" ca="1" si="162"/>
        <v>0</v>
      </c>
      <c r="N334" s="12">
        <f ca="1">IF(Y334=0, 0, ROUND(SUM(Y$17:Y334)-SUM(J$17:J334),0))</f>
        <v>0</v>
      </c>
      <c r="O334" s="12" t="str">
        <f t="shared" ca="1" si="163"/>
        <v/>
      </c>
      <c r="P334" s="12" t="str">
        <f t="shared" ca="1" si="164"/>
        <v/>
      </c>
      <c r="Q334" s="178">
        <f t="shared" ca="1" si="195"/>
        <v>5000000</v>
      </c>
      <c r="R334" s="178">
        <f t="shared" ca="1" si="195"/>
        <v>0</v>
      </c>
      <c r="S334" s="178">
        <f t="shared" ca="1" si="195"/>
        <v>358488</v>
      </c>
      <c r="T334" s="178">
        <f t="shared" ca="1" si="195"/>
        <v>628000</v>
      </c>
      <c r="U334" s="179" t="str">
        <f t="shared" ca="1" si="165"/>
        <v/>
      </c>
      <c r="V334" s="180">
        <f t="shared" ca="1" si="157"/>
        <v>0.57999999999999996</v>
      </c>
      <c r="W334" s="181">
        <f t="shared" ca="1" si="184"/>
        <v>0</v>
      </c>
      <c r="X334" s="177">
        <f t="shared" ca="1" si="166"/>
        <v>0</v>
      </c>
      <c r="Y334" s="12">
        <f t="shared" ca="1" si="167"/>
        <v>0</v>
      </c>
      <c r="Z334" s="182">
        <f t="shared" ca="1" si="168"/>
        <v>0</v>
      </c>
      <c r="AA334" s="271">
        <f t="shared" ca="1" si="185"/>
        <v>0.22</v>
      </c>
      <c r="AB334" s="12">
        <f t="shared" ca="1" si="169"/>
        <v>0</v>
      </c>
      <c r="AC334" s="12">
        <f t="shared" ca="1" si="170"/>
        <v>0</v>
      </c>
      <c r="AD334" s="199"/>
      <c r="AE334" s="273">
        <f t="shared" ca="1" si="171"/>
        <v>1.6821425527395739E-3</v>
      </c>
      <c r="AF334" s="184">
        <f t="shared" ca="1" si="172"/>
        <v>0.58742621870808742</v>
      </c>
      <c r="AG334" s="12">
        <f t="shared" ca="1" si="173"/>
        <v>0</v>
      </c>
      <c r="AH334" s="12">
        <f t="shared" ca="1" si="174"/>
        <v>0</v>
      </c>
      <c r="AI334" s="185">
        <f t="shared" ca="1" si="175"/>
        <v>0</v>
      </c>
      <c r="AJ334" s="177">
        <f t="shared" ca="1" si="176"/>
        <v>0</v>
      </c>
      <c r="AK334" s="12">
        <f t="shared" ca="1" si="177"/>
        <v>0</v>
      </c>
      <c r="AL334" s="185">
        <f t="shared" ca="1" si="186"/>
        <v>0</v>
      </c>
      <c r="AM334" s="177">
        <f t="shared" ca="1" si="187"/>
        <v>0</v>
      </c>
      <c r="AN334" s="177">
        <f t="shared" ca="1" si="188"/>
        <v>0</v>
      </c>
      <c r="AO334" s="196" t="e">
        <f t="shared" ca="1" si="189"/>
        <v>#DIV/0!</v>
      </c>
      <c r="AP334" s="196" t="e">
        <f t="shared" ca="1" si="190"/>
        <v>#NUM!</v>
      </c>
      <c r="AQ334" s="177">
        <f t="shared" ca="1" si="191"/>
        <v>0</v>
      </c>
      <c r="AR334" s="177">
        <f t="shared" ca="1" si="192"/>
        <v>0</v>
      </c>
      <c r="AS334" s="189"/>
      <c r="AT334" s="190"/>
      <c r="AU334" s="190"/>
    </row>
    <row r="335" spans="1:47" x14ac:dyDescent="0.6">
      <c r="A335" s="152" t="str">
        <f t="shared" ca="1" si="158"/>
        <v>Juni 2051</v>
      </c>
      <c r="B335" s="191">
        <v>0</v>
      </c>
      <c r="C335" s="270">
        <f t="shared" ca="1" si="178"/>
        <v>5.4899999999999997E-2</v>
      </c>
      <c r="D335" s="192" t="str">
        <f t="shared" ca="1" si="179"/>
        <v/>
      </c>
      <c r="E335" s="193" t="str">
        <f t="shared" ca="1" si="180"/>
        <v/>
      </c>
      <c r="F335" s="194">
        <f t="shared" ca="1" si="181"/>
        <v>49</v>
      </c>
      <c r="G335" s="14">
        <v>318</v>
      </c>
      <c r="H335" s="157">
        <f t="shared" ca="1" si="182"/>
        <v>0</v>
      </c>
      <c r="I335" s="16">
        <f t="shared" ca="1" si="183"/>
        <v>0</v>
      </c>
      <c r="J335" s="16">
        <f t="shared" ca="1" si="159"/>
        <v>0</v>
      </c>
      <c r="K335" s="158">
        <f t="shared" ca="1" si="160"/>
        <v>0</v>
      </c>
      <c r="L335" s="158">
        <f t="shared" ca="1" si="161"/>
        <v>0</v>
      </c>
      <c r="M335" s="15">
        <f t="shared" ca="1" si="162"/>
        <v>0</v>
      </c>
      <c r="N335" s="16">
        <f ca="1">IF(Y335=0, 0, ROUND(SUM(Y$17:Y335)-SUM(J$17:J335),0))</f>
        <v>0</v>
      </c>
      <c r="O335" s="16" t="str">
        <f t="shared" ca="1" si="163"/>
        <v/>
      </c>
      <c r="P335" s="16" t="str">
        <f t="shared" ca="1" si="164"/>
        <v/>
      </c>
      <c r="Q335" s="160">
        <f t="shared" ca="1" si="195"/>
        <v>5000000</v>
      </c>
      <c r="R335" s="160">
        <f t="shared" ca="1" si="195"/>
        <v>0</v>
      </c>
      <c r="S335" s="160">
        <f t="shared" ca="1" si="195"/>
        <v>358488</v>
      </c>
      <c r="T335" s="160">
        <f t="shared" ca="1" si="195"/>
        <v>628000</v>
      </c>
      <c r="U335" s="161" t="str">
        <f t="shared" ca="1" si="165"/>
        <v/>
      </c>
      <c r="V335" s="162">
        <f t="shared" ca="1" si="157"/>
        <v>0.57999999999999996</v>
      </c>
      <c r="W335" s="195">
        <f t="shared" ca="1" si="184"/>
        <v>0</v>
      </c>
      <c r="X335" s="158">
        <f t="shared" ca="1" si="166"/>
        <v>0</v>
      </c>
      <c r="Y335" s="16">
        <f t="shared" ca="1" si="167"/>
        <v>0</v>
      </c>
      <c r="Z335" s="164">
        <f t="shared" ca="1" si="168"/>
        <v>0</v>
      </c>
      <c r="AA335" s="272">
        <f t="shared" ca="1" si="185"/>
        <v>0.22</v>
      </c>
      <c r="AB335" s="16">
        <f t="shared" ca="1" si="169"/>
        <v>0</v>
      </c>
      <c r="AC335" s="16">
        <f t="shared" ca="1" si="170"/>
        <v>0</v>
      </c>
      <c r="AD335" s="197"/>
      <c r="AE335" s="274">
        <f t="shared" ca="1" si="171"/>
        <v>1.6821425527395739E-3</v>
      </c>
      <c r="AF335" s="166">
        <f t="shared" ca="1" si="172"/>
        <v>0.58643808406900366</v>
      </c>
      <c r="AG335" s="16">
        <f t="shared" ca="1" si="173"/>
        <v>0</v>
      </c>
      <c r="AH335" s="16">
        <f t="shared" ca="1" si="174"/>
        <v>0</v>
      </c>
      <c r="AI335" s="168">
        <f t="shared" ca="1" si="175"/>
        <v>0</v>
      </c>
      <c r="AJ335" s="158">
        <f t="shared" ca="1" si="176"/>
        <v>0</v>
      </c>
      <c r="AK335" s="16">
        <f t="shared" ca="1" si="177"/>
        <v>0</v>
      </c>
      <c r="AL335" s="168">
        <f t="shared" ca="1" si="186"/>
        <v>0</v>
      </c>
      <c r="AM335" s="158">
        <f t="shared" ca="1" si="187"/>
        <v>0</v>
      </c>
      <c r="AN335" s="158">
        <f t="shared" ca="1" si="188"/>
        <v>0</v>
      </c>
      <c r="AO335" s="169" t="e">
        <f t="shared" ca="1" si="189"/>
        <v>#DIV/0!</v>
      </c>
      <c r="AP335" s="169" t="e">
        <f t="shared" ca="1" si="190"/>
        <v>#NUM!</v>
      </c>
      <c r="AQ335" s="158">
        <f t="shared" ca="1" si="191"/>
        <v>0</v>
      </c>
      <c r="AR335" s="158">
        <f t="shared" ca="1" si="192"/>
        <v>0</v>
      </c>
      <c r="AS335" s="170"/>
      <c r="AT335" s="159"/>
      <c r="AU335" s="159"/>
    </row>
    <row r="336" spans="1:47" x14ac:dyDescent="0.6">
      <c r="A336" s="171" t="str">
        <f t="shared" ca="1" si="158"/>
        <v>Juli 2051</v>
      </c>
      <c r="B336" s="191">
        <v>0</v>
      </c>
      <c r="C336" s="269">
        <f t="shared" ca="1" si="178"/>
        <v>5.4899999999999997E-2</v>
      </c>
      <c r="D336" s="173" t="str">
        <f t="shared" ca="1" si="179"/>
        <v/>
      </c>
      <c r="E336" s="174" t="str">
        <f t="shared" ca="1" si="180"/>
        <v/>
      </c>
      <c r="F336" s="175">
        <f t="shared" ca="1" si="181"/>
        <v>49</v>
      </c>
      <c r="G336" s="10">
        <v>319</v>
      </c>
      <c r="H336" s="176">
        <f t="shared" ca="1" si="182"/>
        <v>0</v>
      </c>
      <c r="I336" s="12">
        <f t="shared" ca="1" si="183"/>
        <v>0</v>
      </c>
      <c r="J336" s="12">
        <f t="shared" ca="1" si="159"/>
        <v>0</v>
      </c>
      <c r="K336" s="177">
        <f t="shared" ca="1" si="160"/>
        <v>0</v>
      </c>
      <c r="L336" s="177">
        <f t="shared" ca="1" si="161"/>
        <v>0</v>
      </c>
      <c r="M336" s="11">
        <f t="shared" ca="1" si="162"/>
        <v>0</v>
      </c>
      <c r="N336" s="12">
        <f ca="1">IF(Y336=0, 0, ROUND(SUM(Y$17:Y336)-SUM(J$17:J336),0))</f>
        <v>0</v>
      </c>
      <c r="O336" s="12" t="str">
        <f t="shared" ca="1" si="163"/>
        <v/>
      </c>
      <c r="P336" s="12" t="str">
        <f t="shared" ca="1" si="164"/>
        <v/>
      </c>
      <c r="Q336" s="178">
        <f t="shared" ca="1" si="195"/>
        <v>5000000</v>
      </c>
      <c r="R336" s="178">
        <f t="shared" ca="1" si="195"/>
        <v>0</v>
      </c>
      <c r="S336" s="178">
        <f t="shared" ca="1" si="195"/>
        <v>358488</v>
      </c>
      <c r="T336" s="178">
        <f t="shared" ca="1" si="195"/>
        <v>628000</v>
      </c>
      <c r="U336" s="179" t="str">
        <f t="shared" ca="1" si="165"/>
        <v/>
      </c>
      <c r="V336" s="180">
        <f t="shared" ca="1" si="157"/>
        <v>0.57999999999999996</v>
      </c>
      <c r="W336" s="181">
        <f t="shared" ca="1" si="184"/>
        <v>0</v>
      </c>
      <c r="X336" s="177">
        <f t="shared" ca="1" si="166"/>
        <v>0</v>
      </c>
      <c r="Y336" s="12">
        <f t="shared" ca="1" si="167"/>
        <v>0</v>
      </c>
      <c r="Z336" s="182">
        <f t="shared" ca="1" si="168"/>
        <v>0</v>
      </c>
      <c r="AA336" s="271">
        <f t="shared" ca="1" si="185"/>
        <v>0.22</v>
      </c>
      <c r="AB336" s="12">
        <f t="shared" ca="1" si="169"/>
        <v>0</v>
      </c>
      <c r="AC336" s="12">
        <f t="shared" ca="1" si="170"/>
        <v>0</v>
      </c>
      <c r="AD336" s="199"/>
      <c r="AE336" s="273">
        <f t="shared" ca="1" si="171"/>
        <v>1.6821425527395739E-3</v>
      </c>
      <c r="AF336" s="184">
        <f t="shared" ca="1" si="172"/>
        <v>0.58545161161324411</v>
      </c>
      <c r="AG336" s="12">
        <f t="shared" ca="1" si="173"/>
        <v>0</v>
      </c>
      <c r="AH336" s="12">
        <f t="shared" ca="1" si="174"/>
        <v>0</v>
      </c>
      <c r="AI336" s="185">
        <f t="shared" ca="1" si="175"/>
        <v>0</v>
      </c>
      <c r="AJ336" s="177">
        <f t="shared" ca="1" si="176"/>
        <v>0</v>
      </c>
      <c r="AK336" s="12">
        <f t="shared" ca="1" si="177"/>
        <v>0</v>
      </c>
      <c r="AL336" s="185">
        <f t="shared" ca="1" si="186"/>
        <v>0</v>
      </c>
      <c r="AM336" s="177">
        <f t="shared" ca="1" si="187"/>
        <v>0</v>
      </c>
      <c r="AN336" s="177">
        <f t="shared" ca="1" si="188"/>
        <v>0</v>
      </c>
      <c r="AO336" s="196" t="e">
        <f t="shared" ca="1" si="189"/>
        <v>#DIV/0!</v>
      </c>
      <c r="AP336" s="196" t="e">
        <f t="shared" ca="1" si="190"/>
        <v>#NUM!</v>
      </c>
      <c r="AQ336" s="177">
        <f t="shared" ca="1" si="191"/>
        <v>0</v>
      </c>
      <c r="AR336" s="177">
        <f t="shared" ca="1" si="192"/>
        <v>0</v>
      </c>
      <c r="AS336" s="189"/>
      <c r="AT336" s="190"/>
      <c r="AU336" s="190"/>
    </row>
    <row r="337" spans="1:47" x14ac:dyDescent="0.6">
      <c r="A337" s="152" t="str">
        <f t="shared" ca="1" si="158"/>
        <v>August 2051</v>
      </c>
      <c r="B337" s="191">
        <v>0</v>
      </c>
      <c r="C337" s="270">
        <f t="shared" ca="1" si="178"/>
        <v>5.4899999999999997E-2</v>
      </c>
      <c r="D337" s="192" t="str">
        <f t="shared" ca="1" si="179"/>
        <v/>
      </c>
      <c r="E337" s="193" t="str">
        <f t="shared" ca="1" si="180"/>
        <v/>
      </c>
      <c r="F337" s="194">
        <f t="shared" ca="1" si="181"/>
        <v>49</v>
      </c>
      <c r="G337" s="14">
        <v>320</v>
      </c>
      <c r="H337" s="157">
        <f t="shared" ca="1" si="182"/>
        <v>0</v>
      </c>
      <c r="I337" s="16">
        <f t="shared" ca="1" si="183"/>
        <v>0</v>
      </c>
      <c r="J337" s="16">
        <f t="shared" ca="1" si="159"/>
        <v>0</v>
      </c>
      <c r="K337" s="158">
        <f t="shared" ca="1" si="160"/>
        <v>0</v>
      </c>
      <c r="L337" s="158">
        <f t="shared" ca="1" si="161"/>
        <v>0</v>
      </c>
      <c r="M337" s="15">
        <f t="shared" ca="1" si="162"/>
        <v>0</v>
      </c>
      <c r="N337" s="16">
        <f ca="1">IF(Y337=0, 0, ROUND(SUM(Y$17:Y337)-SUM(J$17:J337),0))</f>
        <v>0</v>
      </c>
      <c r="O337" s="16" t="str">
        <f t="shared" ca="1" si="163"/>
        <v/>
      </c>
      <c r="P337" s="16" t="str">
        <f t="shared" ca="1" si="164"/>
        <v/>
      </c>
      <c r="Q337" s="160">
        <f t="shared" ca="1" si="195"/>
        <v>5000000</v>
      </c>
      <c r="R337" s="160">
        <f t="shared" ca="1" si="195"/>
        <v>0</v>
      </c>
      <c r="S337" s="160">
        <f t="shared" ca="1" si="195"/>
        <v>358488</v>
      </c>
      <c r="T337" s="160">
        <f t="shared" ca="1" si="195"/>
        <v>628000</v>
      </c>
      <c r="U337" s="161" t="str">
        <f t="shared" ca="1" si="165"/>
        <v/>
      </c>
      <c r="V337" s="162">
        <f t="shared" ref="V337:V377" ca="1" si="196">IF(SUM(INDIRECT(ADDRESS(ROW(), t2kInntekt))) = 0, "Inntekt mangler", ROUNDUP(($L337 + INDIRECT(ADDRESS(ROW(), t2kFGj)) + INDIRECT(ADDRESS(ROW(), t2kAnnenGjeld))) / INDIRECT(ADDRESS(ROW(), t2kInntekt)), 2))</f>
        <v>0.57999999999999996</v>
      </c>
      <c r="W337" s="195">
        <f t="shared" ca="1" si="184"/>
        <v>0</v>
      </c>
      <c r="X337" s="158">
        <f t="shared" ca="1" si="166"/>
        <v>0</v>
      </c>
      <c r="Y337" s="16">
        <f t="shared" ca="1" si="167"/>
        <v>0</v>
      </c>
      <c r="Z337" s="164">
        <f t="shared" ca="1" si="168"/>
        <v>0</v>
      </c>
      <c r="AA337" s="272">
        <f t="shared" ca="1" si="185"/>
        <v>0.22</v>
      </c>
      <c r="AB337" s="16">
        <f t="shared" ca="1" si="169"/>
        <v>0</v>
      </c>
      <c r="AC337" s="16">
        <f t="shared" ca="1" si="170"/>
        <v>0</v>
      </c>
      <c r="AD337" s="197"/>
      <c r="AE337" s="274">
        <f t="shared" ca="1" si="171"/>
        <v>1.6821425527395739E-3</v>
      </c>
      <c r="AF337" s="166">
        <f t="shared" ca="1" si="172"/>
        <v>0.58446679854477945</v>
      </c>
      <c r="AG337" s="16">
        <f t="shared" ca="1" si="173"/>
        <v>0</v>
      </c>
      <c r="AH337" s="16">
        <f t="shared" ca="1" si="174"/>
        <v>0</v>
      </c>
      <c r="AI337" s="168">
        <f t="shared" ca="1" si="175"/>
        <v>0</v>
      </c>
      <c r="AJ337" s="158">
        <f t="shared" ca="1" si="176"/>
        <v>0</v>
      </c>
      <c r="AK337" s="16">
        <f t="shared" ca="1" si="177"/>
        <v>0</v>
      </c>
      <c r="AL337" s="168">
        <f t="shared" ca="1" si="186"/>
        <v>0</v>
      </c>
      <c r="AM337" s="158">
        <f t="shared" ca="1" si="187"/>
        <v>0</v>
      </c>
      <c r="AN337" s="158">
        <f t="shared" ca="1" si="188"/>
        <v>0</v>
      </c>
      <c r="AO337" s="169" t="e">
        <f t="shared" ca="1" si="189"/>
        <v>#DIV/0!</v>
      </c>
      <c r="AP337" s="169" t="e">
        <f t="shared" ca="1" si="190"/>
        <v>#NUM!</v>
      </c>
      <c r="AQ337" s="158">
        <f t="shared" ca="1" si="191"/>
        <v>0</v>
      </c>
      <c r="AR337" s="158">
        <f t="shared" ca="1" si="192"/>
        <v>0</v>
      </c>
      <c r="AS337" s="170"/>
      <c r="AT337" s="159"/>
      <c r="AU337" s="159"/>
    </row>
    <row r="338" spans="1:47" x14ac:dyDescent="0.6">
      <c r="A338" s="171" t="str">
        <f t="shared" ref="A338:A377" ca="1" si="197">PROPER(CHOOSE((MONTH($E$5)-1+G338)-INT((MONTH($E$5)-2+G338)/12)*12,"Januar","Februar","Mars","April","Mai","Juni","Juli","August","September","Oktober","November","Desember")) &amp; " " &amp; TEXT(YEAR($E$5) + INT((MONTH($E$5)-2+G338)/12),0)</f>
        <v>September 2051</v>
      </c>
      <c r="B338" s="191">
        <v>0</v>
      </c>
      <c r="C338" s="269">
        <f t="shared" ca="1" si="178"/>
        <v>5.4899999999999997E-2</v>
      </c>
      <c r="D338" s="173" t="str">
        <f t="shared" ca="1" si="179"/>
        <v/>
      </c>
      <c r="E338" s="174" t="str">
        <f t="shared" ca="1" si="180"/>
        <v/>
      </c>
      <c r="F338" s="175">
        <f t="shared" ca="1" si="181"/>
        <v>49</v>
      </c>
      <c r="G338" s="10">
        <v>321</v>
      </c>
      <c r="H338" s="176">
        <f t="shared" ca="1" si="182"/>
        <v>0</v>
      </c>
      <c r="I338" s="12">
        <f t="shared" ca="1" si="183"/>
        <v>0</v>
      </c>
      <c r="J338" s="12">
        <f t="shared" ref="J338:J377" ca="1" si="198">IF(AND(H338&lt;=0,ROUND(L337,0)&lt;=0),0, L337*INDIRECT(ADDRESS(ROW(),t2kRP))/12)</f>
        <v>0</v>
      </c>
      <c r="K338" s="177">
        <f t="shared" ref="K338:K377" ca="1" si="199">IF(INDIRECT(ADDRESS(ROW(),t2kUAvd))="x", 0, I338-J338)</f>
        <v>0</v>
      </c>
      <c r="L338" s="177">
        <f t="shared" ref="L338:L377" ca="1" si="200">IF(ABS(L337-ROUND(INDIRECT(ADDRESS(ROW(),t2kTnb)),0)-K338)&lt;0.5, 0, L337-INDIRECT(ADDRESS(ROW(),t2kTnb))-K338)</f>
        <v>0</v>
      </c>
      <c r="M338" s="11">
        <f t="shared" ref="M338:M377" ca="1" si="201">Y338-J338</f>
        <v>0</v>
      </c>
      <c r="N338" s="12">
        <f ca="1">IF(Y338=0, 0, ROUND(SUM(Y$17:Y338)-SUM(J$17:J338),0))</f>
        <v>0</v>
      </c>
      <c r="O338" s="12" t="str">
        <f t="shared" ref="O338:O377" ca="1" si="202">IF(OR(ROUND(Z338,0)&lt;=0, AND(ROUND(H338,0)&lt;=0,ROUND(L337,0)&lt;=0)), "",IF(ROUNDDOWN(Z337-L337,-(LEN(TEXT(INT(ABS(Z337-L337)),0))-2))=ROUNDDOWN(Z338-L338,-(LEN(TEXT(INT(ABS(Z338-L338)),0))-2)),"", ROUNDDOWN(Z338-L338,-(LEN(TEXT(INT(ABS(Z338-L338)),0))-2))))</f>
        <v/>
      </c>
      <c r="P338" s="12" t="str">
        <f t="shared" ref="P338:P377" ca="1" si="203">IF(INDIRECT(ADDRESS(ROW(),t2kTakst))&lt;=L338, "",IF(ROUNDDOWN(INDIRECT(ADDRESS(ROW()-1,t2kTakst))-L337,-4)=ROUNDDOWN(INDIRECT(ADDRESS(ROW(),t2kTakst))-L338,-4),"", ROUNDDOWN(INDIRECT(ADDRESS(ROW(),t2kTakst))-L338,-4)))</f>
        <v/>
      </c>
      <c r="Q338" s="178">
        <f t="shared" ref="Q338:T357" ca="1" si="204">OFFSET(Q338,-1,0,1,1)</f>
        <v>5000000</v>
      </c>
      <c r="R338" s="178">
        <f t="shared" ca="1" si="204"/>
        <v>0</v>
      </c>
      <c r="S338" s="178">
        <f t="shared" ca="1" si="204"/>
        <v>358488</v>
      </c>
      <c r="T338" s="178">
        <f t="shared" ca="1" si="204"/>
        <v>628000</v>
      </c>
      <c r="U338" s="179" t="str">
        <f t="shared" ref="U338:U377" ca="1" si="205">IF(AND(OR(AND(ISNUMBER(INDIRECT(ADDRESS(ROW()-1, t2kGjeldsgrad))), SUM(INDIRECT(ADDRESS(ROW()-1, t2kGjeldsgrad))) &gt; $P$10), NOT(ISNUMBER(INDIRECT(ADDRESS(ROW()-1, t2kGjeldsgrad))))), ISNUMBER($V338), ISNUMBER($P$10), SUM($V338) &lt;= SUM($P$10)), ROW(), "")</f>
        <v/>
      </c>
      <c r="V338" s="180">
        <f t="shared" ca="1" si="196"/>
        <v>0.57999999999999996</v>
      </c>
      <c r="W338" s="181">
        <f t="shared" ca="1" si="184"/>
        <v>0</v>
      </c>
      <c r="X338" s="177">
        <f t="shared" ref="X338:X377" ca="1" si="206">IF(AND(W338&lt;=0,ROUND(Z337,0)&lt;=0),0,IF(LOWER(LEFT($E$2,1))="s", IF($E$3/ROUND($E$4*12,0)+Y338&gt;Z337+Y338, Z337+Y338, $E$3/ROUND($E$4*12,0)+Y338),IF(ABS(PMT(INDIRECT(ADDRESS(ROW(),t2kRP))/12,W338,Z337)) &gt;Z337+Y338, Z337+Y338, ABS(PMT(INDIRECT(ADDRESS(ROW(),t2kRP))/12,W338,Z337)))))</f>
        <v>0</v>
      </c>
      <c r="Y338" s="12">
        <f t="shared" ref="Y338:Y377" ca="1" si="207">IF(AND(W338&lt;=0,ROUND(Z337,0)&lt;=0),0, Z337*INDIRECT(ADDRESS(ROW(),t2kRP))/12)</f>
        <v>0</v>
      </c>
      <c r="Z338" s="182">
        <f t="shared" ref="Z338:Z377" ca="1" si="208">IF(ABS(Z337+Y338-X338)&lt;0.5,0,Z337+Y338-X338)</f>
        <v>0</v>
      </c>
      <c r="AA338" s="271">
        <f t="shared" ca="1" si="185"/>
        <v>0.22</v>
      </c>
      <c r="AB338" s="12">
        <f t="shared" ref="AB338:AB377" ca="1" si="209">INDIRECT(ADDRESS(ROW(),t2kTnb))+($AI338+$J338)*(1-IF(LOWER(LEFT($P$3,1))="j", INDIRECT(ADDRESS(ROW(), t2kFradragPst)), 0))+$K338</f>
        <v>0</v>
      </c>
      <c r="AC338" s="12">
        <f t="shared" ref="AC338:AC377" ca="1" si="210">($AJ338+$Y338)*(1-IF(LOWER(LEFT($P$3,1))="j", INDIRECT(ADDRESS(ROW(), t2kFradragPst)), 0))+($X338-$Y338)</f>
        <v>0</v>
      </c>
      <c r="AD338" s="199"/>
      <c r="AE338" s="273">
        <f t="shared" ref="AE338:AE377" ca="1" si="211">IF(OR(SUM(INDIRECT(ADDRESS(ROW()-1,t2kKPI)))=0,SUM(INDIRECT(ADDRESS(ROW(),t2kKPI)))=0), -((-$R$4+1)^(1/12)-1), (INDIRECT(ADDRESS(ROW(),t2kKPI))-INDIRECT(ADDRESS(ROW()-1,t2kKPI)))/INDIRECT(ADDRESS(ROW()-1,t2kKPI)))</f>
        <v>1.6821425527395739E-3</v>
      </c>
      <c r="AF338" s="184">
        <f t="shared" ref="AF338:AF377" ca="1" si="212">IF(G338-$P$4=0,1,IF(G338-$P$4&lt;0,AF339/(1-AE339),AF337*(1-AE338)))</f>
        <v>0.58348364207228376</v>
      </c>
      <c r="AG338" s="12">
        <f t="shared" ref="AG338:AG377" ca="1" si="213">$AF338*$AB338</f>
        <v>0</v>
      </c>
      <c r="AH338" s="12">
        <f t="shared" ref="AH338:AH377" ca="1" si="214">$AF338*$AC338</f>
        <v>0</v>
      </c>
      <c r="AI338" s="185">
        <f t="shared" ref="AI338:AI377" ca="1" si="215">IF(AND(H338&lt;=0,ROUND(L337,0)&lt;=0), 0, INDIRECT(ADDRESS(ROW(),t2kTG)))</f>
        <v>0</v>
      </c>
      <c r="AJ338" s="177">
        <f t="shared" ref="AJ338:AJ377" ca="1" si="216">IF(AND(W338&lt;=0,ROUND(Z337,0)&lt;=0), 0, INDIRECT(ADDRESS(ROW(),t2kTG)))</f>
        <v>0</v>
      </c>
      <c r="AK338" s="12">
        <f t="shared" ref="AK338:AK377" ca="1" si="217">-(INDIRECT(ADDRESS(ROW(),t2kTnb))+AI338+J338+K338)</f>
        <v>0</v>
      </c>
      <c r="AL338" s="185">
        <f t="shared" ca="1" si="186"/>
        <v>0</v>
      </c>
      <c r="AM338" s="177">
        <f t="shared" ca="1" si="187"/>
        <v>0</v>
      </c>
      <c r="AN338" s="177">
        <f t="shared" ca="1" si="188"/>
        <v>0</v>
      </c>
      <c r="AO338" s="196" t="e">
        <f t="shared" ca="1" si="189"/>
        <v>#DIV/0!</v>
      </c>
      <c r="AP338" s="196" t="e">
        <f t="shared" ca="1" si="190"/>
        <v>#NUM!</v>
      </c>
      <c r="AQ338" s="177">
        <f t="shared" ca="1" si="191"/>
        <v>0</v>
      </c>
      <c r="AR338" s="177">
        <f t="shared" ca="1" si="192"/>
        <v>0</v>
      </c>
      <c r="AS338" s="189"/>
      <c r="AT338" s="190"/>
      <c r="AU338" s="190"/>
    </row>
    <row r="339" spans="1:47" x14ac:dyDescent="0.6">
      <c r="A339" s="152" t="str">
        <f t="shared" ca="1" si="197"/>
        <v>Oktober 2051</v>
      </c>
      <c r="B339" s="191">
        <v>0</v>
      </c>
      <c r="C339" s="270">
        <f t="shared" ref="C339:C377" ca="1" si="218">IF(AND(LOWER(LEFT($E$10,1))="j", INDIRECT(ADDRESS(ROW(),t2kTNr))=t2vStdRTNr), t2xStdRPst, OFFSET(C339,-1,0,1,1))</f>
        <v>5.4899999999999997E-2</v>
      </c>
      <c r="D339" s="192" t="str">
        <f t="shared" ref="D339:D377" ca="1" si="219">IF(AND(LOWER(LEFT($E$8, 1))&lt;&gt;"n", INDIRECT(ADDRESS(ROW()-1,t2kUAvd))="x"),-1/12,"")</f>
        <v/>
      </c>
      <c r="E339" s="193" t="str">
        <f t="shared" ref="E339:E377" ca="1" si="220">IF(AND(LOWER(OFFSET(E339,-1,0,1,1))="x", INDIRECT(ADDRESS(ROW(),t2kTI1))&gt;1),OFFSET(E339,-1,0,1,1),"")</f>
        <v/>
      </c>
      <c r="F339" s="194">
        <f t="shared" ref="F339:F377" ca="1" si="221">OFFSET(F339,-1,0,1,1)</f>
        <v>49</v>
      </c>
      <c r="G339" s="14">
        <v>322</v>
      </c>
      <c r="H339" s="157">
        <f t="shared" ref="H339:H377" ca="1" si="222">IF(OR(ROUND(H338,0) + ROUND(SUM(INDIRECT(ADDRESS(ROW(),t2kNTid)))*12,0) &lt;= 0,ROUND(L338,0)&lt;=0),0, IF(LOWER(LEFT($E$2,1))="s", AO339, AP339))</f>
        <v>0</v>
      </c>
      <c r="I339" s="16">
        <f t="shared" ref="I339:I377" ca="1" si="223">IF(AND(H339&lt;=0,ROUND(L338,0)&lt;=0),0,IF(I338&gt;=L338+J339,L338+J339,IF(LOWER(LEFT($E$2,1))="s", AL339, AM339)))</f>
        <v>0</v>
      </c>
      <c r="J339" s="16">
        <f t="shared" ca="1" si="198"/>
        <v>0</v>
      </c>
      <c r="K339" s="158">
        <f t="shared" ca="1" si="199"/>
        <v>0</v>
      </c>
      <c r="L339" s="158">
        <f t="shared" ca="1" si="200"/>
        <v>0</v>
      </c>
      <c r="M339" s="15">
        <f t="shared" ca="1" si="201"/>
        <v>0</v>
      </c>
      <c r="N339" s="16">
        <f ca="1">IF(Y339=0, 0, ROUND(SUM(Y$17:Y339)-SUM(J$17:J339),0))</f>
        <v>0</v>
      </c>
      <c r="O339" s="16" t="str">
        <f t="shared" ca="1" si="202"/>
        <v/>
      </c>
      <c r="P339" s="16" t="str">
        <f t="shared" ca="1" si="203"/>
        <v/>
      </c>
      <c r="Q339" s="160">
        <f t="shared" ca="1" si="204"/>
        <v>5000000</v>
      </c>
      <c r="R339" s="160">
        <f t="shared" ca="1" si="204"/>
        <v>0</v>
      </c>
      <c r="S339" s="160">
        <f t="shared" ca="1" si="204"/>
        <v>358488</v>
      </c>
      <c r="T339" s="160">
        <f t="shared" ca="1" si="204"/>
        <v>628000</v>
      </c>
      <c r="U339" s="161" t="str">
        <f t="shared" ca="1" si="205"/>
        <v/>
      </c>
      <c r="V339" s="162">
        <f t="shared" ca="1" si="196"/>
        <v>0.57999999999999996</v>
      </c>
      <c r="W339" s="195">
        <f t="shared" ref="W339:W377" ca="1" si="224">IF(OR(ROUNDUP(W338,0) &lt;= 0, ROUND(Z338,0) &lt;= 0),0,ROUNDUP(W338,0)-1)</f>
        <v>0</v>
      </c>
      <c r="X339" s="158">
        <f t="shared" ca="1" si="206"/>
        <v>0</v>
      </c>
      <c r="Y339" s="16">
        <f t="shared" ca="1" si="207"/>
        <v>0</v>
      </c>
      <c r="Z339" s="164">
        <f t="shared" ca="1" si="208"/>
        <v>0</v>
      </c>
      <c r="AA339" s="272">
        <f t="shared" ref="AA339:AA377" ca="1" si="225">OFFSET(AA339,-1,0,1,1)</f>
        <v>0.22</v>
      </c>
      <c r="AB339" s="16">
        <f t="shared" ca="1" si="209"/>
        <v>0</v>
      </c>
      <c r="AC339" s="16">
        <f t="shared" ca="1" si="210"/>
        <v>0</v>
      </c>
      <c r="AD339" s="197"/>
      <c r="AE339" s="274">
        <f t="shared" ca="1" si="211"/>
        <v>1.6821425527395739E-3</v>
      </c>
      <c r="AF339" s="166">
        <f t="shared" ca="1" si="212"/>
        <v>0.58250213940912654</v>
      </c>
      <c r="AG339" s="16">
        <f t="shared" ca="1" si="213"/>
        <v>0</v>
      </c>
      <c r="AH339" s="16">
        <f t="shared" ca="1" si="214"/>
        <v>0</v>
      </c>
      <c r="AI339" s="168">
        <f t="shared" ca="1" si="215"/>
        <v>0</v>
      </c>
      <c r="AJ339" s="158">
        <f t="shared" ca="1" si="216"/>
        <v>0</v>
      </c>
      <c r="AK339" s="16">
        <f t="shared" ca="1" si="217"/>
        <v>0</v>
      </c>
      <c r="AL339" s="168">
        <f t="shared" ref="AL339:AL377" ca="1" si="226">IF(OR(SUM(INDIRECT(ADDRESS(ROW(), t2kNTid))) &lt;&gt; 0, AND(LOWER(LEFT($E$6, 1)) &lt;&gt; "j", INDIRECT(ADDRESS(ROW()-1, t2kTnb)) &lt;&gt; 0)), L338 / H339 + J339, (I338 - J338) + J339)</f>
        <v>0</v>
      </c>
      <c r="AM339" s="158">
        <f t="shared" ref="AM339:AM377" ca="1" si="227">IF(AND(INDIRECT(ADDRESS(ROW(), t2kRP)) = INDIRECT(ADDRESS(ROW()-1, t2kRP)), SUM(INDIRECT(ADDRESS(ROW(), t2kNTid))) = 0, OR(LOWER(LEFT($E$6, 1)) = "j", INDIRECT(ADDRESS(ROW()-1, t2kTnb)) = 0)), I338, ABS(AN339))</f>
        <v>0</v>
      </c>
      <c r="AN339" s="158">
        <f t="shared" ref="AN339:AN377" ca="1" si="228">-PMT(INDIRECT(ADDRESS(ROW(), t2kRP)) / 12, IF(SUM(INDIRECT(ADDRESS(ROW(), t2kNTid))) &lt;&gt; 0, H339, H338 - 1), IF(OR(SUM(INDIRECT(ADDRESS(ROW(), t2kNTid))) &lt;&gt; 0, AND(LOWER(LEFT($E$6, 1)) &lt;&gt; "j", INDIRECT(ADDRESS(ROW()-1, t2kTnb)) &lt;&gt; 0)), L338, L338 + INDIRECT(ADDRESS(ROW()-1, t2kTnb))))</f>
        <v>0</v>
      </c>
      <c r="AO339" s="169" t="e">
        <f t="shared" ref="AO339:AO377" ca="1" si="229">IF(LOWER(LEFT($E$6, 1)) = "j", ROUNDUP(ROUND(L338 / (I338 - J338), 6),0), IF(LOWER(LEFT(INDIRECT(ADDRESS(ROW()-1, t2kUAvd)), 1)) = "x", H338, H338 - 1)) + ROUND(SUM(INDIRECT(ADDRESS(ROW(), t2kNTid))) * 12, 0)</f>
        <v>#DIV/0!</v>
      </c>
      <c r="AP339" s="169" t="e">
        <f t="shared" ref="AP339:AP377" ca="1" si="230">IF(LOWER(LEFT($E$6, 1)) = "j", ROUNDUP(ROUND(NPER(INDIRECT(ADDRESS(ROW()-1, t2kRP)) / 12, -ABS(I338), L338), 6),0), IF(LOWER(LEFT(INDIRECT(ADDRESS(ROW()-1, t2kUAvd)), 1)) = "x", H338, H338 - 1)) + ROUND(SUM(INDIRECT(ADDRESS(ROW(), t2kNTid))) * 12, 0)</f>
        <v>#NUM!</v>
      </c>
      <c r="AQ339" s="158">
        <f t="shared" ref="AQ339:AQ377" ca="1" si="231">IF(ROUND(INDIRECT(ADDRESS(ROW()-1,t2kS1)),0) &lt;= 0,0,IF(INDIRECT(ADDRESS(ROW()-1,t2kS1)) &lt;= INDIRECT(ADDRESS(ROW()-1,t2kTnb)) + INDIRECT(ADDRESS(ROW(),t2kAvd1)),INDIRECT(ADDRESS(ROW()-1,t2kS1)) - INDIRECT(ADDRESS(ROW(),t2kAvd1)),INDIRECT(ADDRESS(ROW()-1,t2kTnb))))</f>
        <v>0</v>
      </c>
      <c r="AR339" s="158">
        <f t="shared" ref="AR339:AR377" ca="1" si="232">IF(OR((INDIRECT(ADDRESS(ROW()-1,t2kTnb))+INDIRECT(ADDRESS(ROW()-1,t2kTG))+INDIRECT(ADDRESS(ROW()-1,t2kR1))+INDIRECT(ADDRESS(ROW()-1,t2kAvd1))) &lt;= (INDIRECT(ADDRESS(ROW(),t2kTG))+INDIRECT(ADDRESS(ROW(),t2kR1))+INDIRECT(ADDRESS(ROW(),t2kAvd1))),ROUND(INDIRECT(ADDRESS(ROW()-1,t2kS1)),0) &lt;= 0),0,IF(AND(INDIRECT(ADDRESS(ROW()-1,t2kS1)) - INDIRECT(ADDRESS(ROW(),t2kAvd1)) &gt; -0.5,(INDIRECT(ADDRESS(ROW()-1,t2kTnb))+INDIRECT(ADDRESS(ROW()-1,t2kTG))+INDIRECT(ADDRESS(ROW()-1,t2kR1))+INDIRECT(ADDRESS(ROW()-1,t2kAvd1))) &gt;= (INDIRECT(ADDRESS(ROW()-1,t2kS1))+INDIRECT(ADDRESS(ROW(),t2kR1))+INDIRECT(ADDRESS(ROW(),t2kTG)))),INDIRECT(ADDRESS(ROW()-1,t2kS1)) - INDIRECT(ADDRESS(ROW(),t2kAvd1)),(INDIRECT(ADDRESS(ROW()-1,t2kTnb))+INDIRECT(ADDRESS(ROW()-1,t2kTG))+INDIRECT(ADDRESS(ROW()-1,t2kR1))+INDIRECT(ADDRESS(ROW()-1,t2kAvd1))) - (INDIRECT(ADDRESS(ROW(),t2kTG))+INDIRECT(ADDRESS(ROW(),t2kR1))+INDIRECT(ADDRESS(ROW(),t2kAvd1)))))</f>
        <v>0</v>
      </c>
      <c r="AS339" s="170"/>
      <c r="AT339" s="159"/>
      <c r="AU339" s="159"/>
    </row>
    <row r="340" spans="1:47" x14ac:dyDescent="0.6">
      <c r="A340" s="171" t="str">
        <f t="shared" ca="1" si="197"/>
        <v>November 2051</v>
      </c>
      <c r="B340" s="191">
        <v>0</v>
      </c>
      <c r="C340" s="269">
        <f t="shared" ca="1" si="218"/>
        <v>5.4899999999999997E-2</v>
      </c>
      <c r="D340" s="173" t="str">
        <f t="shared" ca="1" si="219"/>
        <v/>
      </c>
      <c r="E340" s="174" t="str">
        <f t="shared" ca="1" si="220"/>
        <v/>
      </c>
      <c r="F340" s="175">
        <f t="shared" ca="1" si="221"/>
        <v>49</v>
      </c>
      <c r="G340" s="10">
        <v>323</v>
      </c>
      <c r="H340" s="176">
        <f t="shared" ca="1" si="222"/>
        <v>0</v>
      </c>
      <c r="I340" s="12">
        <f t="shared" ca="1" si="223"/>
        <v>0</v>
      </c>
      <c r="J340" s="12">
        <f t="shared" ca="1" si="198"/>
        <v>0</v>
      </c>
      <c r="K340" s="177">
        <f t="shared" ca="1" si="199"/>
        <v>0</v>
      </c>
      <c r="L340" s="177">
        <f t="shared" ca="1" si="200"/>
        <v>0</v>
      </c>
      <c r="M340" s="11">
        <f t="shared" ca="1" si="201"/>
        <v>0</v>
      </c>
      <c r="N340" s="12">
        <f ca="1">IF(Y340=0, 0, ROUND(SUM(Y$17:Y340)-SUM(J$17:J340),0))</f>
        <v>0</v>
      </c>
      <c r="O340" s="12" t="str">
        <f t="shared" ca="1" si="202"/>
        <v/>
      </c>
      <c r="P340" s="12" t="str">
        <f t="shared" ca="1" si="203"/>
        <v/>
      </c>
      <c r="Q340" s="178">
        <f t="shared" ca="1" si="204"/>
        <v>5000000</v>
      </c>
      <c r="R340" s="178">
        <f t="shared" ca="1" si="204"/>
        <v>0</v>
      </c>
      <c r="S340" s="178">
        <f t="shared" ca="1" si="204"/>
        <v>358488</v>
      </c>
      <c r="T340" s="178">
        <f t="shared" ca="1" si="204"/>
        <v>628000</v>
      </c>
      <c r="U340" s="179" t="str">
        <f t="shared" ca="1" si="205"/>
        <v/>
      </c>
      <c r="V340" s="180">
        <f t="shared" ca="1" si="196"/>
        <v>0.57999999999999996</v>
      </c>
      <c r="W340" s="181">
        <f t="shared" ca="1" si="224"/>
        <v>0</v>
      </c>
      <c r="X340" s="177">
        <f t="shared" ca="1" si="206"/>
        <v>0</v>
      </c>
      <c r="Y340" s="12">
        <f t="shared" ca="1" si="207"/>
        <v>0</v>
      </c>
      <c r="Z340" s="182">
        <f t="shared" ca="1" si="208"/>
        <v>0</v>
      </c>
      <c r="AA340" s="271">
        <f t="shared" ca="1" si="225"/>
        <v>0.22</v>
      </c>
      <c r="AB340" s="12">
        <f t="shared" ca="1" si="209"/>
        <v>0</v>
      </c>
      <c r="AC340" s="12">
        <f t="shared" ca="1" si="210"/>
        <v>0</v>
      </c>
      <c r="AD340" s="199"/>
      <c r="AE340" s="273">
        <f t="shared" ca="1" si="211"/>
        <v>1.6821425527395739E-3</v>
      </c>
      <c r="AF340" s="184">
        <f t="shared" ca="1" si="212"/>
        <v>0.58152228777336457</v>
      </c>
      <c r="AG340" s="12">
        <f t="shared" ca="1" si="213"/>
        <v>0</v>
      </c>
      <c r="AH340" s="12">
        <f t="shared" ca="1" si="214"/>
        <v>0</v>
      </c>
      <c r="AI340" s="185">
        <f t="shared" ca="1" si="215"/>
        <v>0</v>
      </c>
      <c r="AJ340" s="177">
        <f t="shared" ca="1" si="216"/>
        <v>0</v>
      </c>
      <c r="AK340" s="12">
        <f t="shared" ca="1" si="217"/>
        <v>0</v>
      </c>
      <c r="AL340" s="185">
        <f t="shared" ca="1" si="226"/>
        <v>0</v>
      </c>
      <c r="AM340" s="177">
        <f t="shared" ca="1" si="227"/>
        <v>0</v>
      </c>
      <c r="AN340" s="177">
        <f t="shared" ca="1" si="228"/>
        <v>0</v>
      </c>
      <c r="AO340" s="196" t="e">
        <f t="shared" ca="1" si="229"/>
        <v>#DIV/0!</v>
      </c>
      <c r="AP340" s="196" t="e">
        <f t="shared" ca="1" si="230"/>
        <v>#NUM!</v>
      </c>
      <c r="AQ340" s="177">
        <f t="shared" ca="1" si="231"/>
        <v>0</v>
      </c>
      <c r="AR340" s="177">
        <f t="shared" ca="1" si="232"/>
        <v>0</v>
      </c>
      <c r="AS340" s="189"/>
      <c r="AT340" s="190"/>
      <c r="AU340" s="190"/>
    </row>
    <row r="341" spans="1:47" x14ac:dyDescent="0.6">
      <c r="A341" s="152" t="str">
        <f t="shared" ca="1" si="197"/>
        <v>Desember 2051</v>
      </c>
      <c r="B341" s="191">
        <v>0</v>
      </c>
      <c r="C341" s="270">
        <f t="shared" ca="1" si="218"/>
        <v>5.4899999999999997E-2</v>
      </c>
      <c r="D341" s="192" t="str">
        <f t="shared" ca="1" si="219"/>
        <v/>
      </c>
      <c r="E341" s="193" t="str">
        <f t="shared" ca="1" si="220"/>
        <v/>
      </c>
      <c r="F341" s="194">
        <f t="shared" ca="1" si="221"/>
        <v>49</v>
      </c>
      <c r="G341" s="14">
        <v>324</v>
      </c>
      <c r="H341" s="157">
        <f t="shared" ca="1" si="222"/>
        <v>0</v>
      </c>
      <c r="I341" s="16">
        <f t="shared" ca="1" si="223"/>
        <v>0</v>
      </c>
      <c r="J341" s="16">
        <f t="shared" ca="1" si="198"/>
        <v>0</v>
      </c>
      <c r="K341" s="158">
        <f t="shared" ca="1" si="199"/>
        <v>0</v>
      </c>
      <c r="L341" s="158">
        <f t="shared" ca="1" si="200"/>
        <v>0</v>
      </c>
      <c r="M341" s="15">
        <f t="shared" ca="1" si="201"/>
        <v>0</v>
      </c>
      <c r="N341" s="16">
        <f ca="1">IF(Y341=0, 0, ROUND(SUM(Y$17:Y341)-SUM(J$17:J341),0))</f>
        <v>0</v>
      </c>
      <c r="O341" s="16" t="str">
        <f t="shared" ca="1" si="202"/>
        <v/>
      </c>
      <c r="P341" s="16" t="str">
        <f t="shared" ca="1" si="203"/>
        <v/>
      </c>
      <c r="Q341" s="160">
        <f t="shared" ca="1" si="204"/>
        <v>5000000</v>
      </c>
      <c r="R341" s="160">
        <f t="shared" ca="1" si="204"/>
        <v>0</v>
      </c>
      <c r="S341" s="160">
        <f t="shared" ca="1" si="204"/>
        <v>358488</v>
      </c>
      <c r="T341" s="160">
        <f t="shared" ca="1" si="204"/>
        <v>628000</v>
      </c>
      <c r="U341" s="161" t="str">
        <f t="shared" ca="1" si="205"/>
        <v/>
      </c>
      <c r="V341" s="162">
        <f t="shared" ca="1" si="196"/>
        <v>0.57999999999999996</v>
      </c>
      <c r="W341" s="195">
        <f t="shared" ca="1" si="224"/>
        <v>0</v>
      </c>
      <c r="X341" s="158">
        <f t="shared" ca="1" si="206"/>
        <v>0</v>
      </c>
      <c r="Y341" s="16">
        <f t="shared" ca="1" si="207"/>
        <v>0</v>
      </c>
      <c r="Z341" s="164">
        <f t="shared" ca="1" si="208"/>
        <v>0</v>
      </c>
      <c r="AA341" s="272">
        <f t="shared" ca="1" si="225"/>
        <v>0.22</v>
      </c>
      <c r="AB341" s="16">
        <f t="shared" ca="1" si="209"/>
        <v>0</v>
      </c>
      <c r="AC341" s="16">
        <f t="shared" ca="1" si="210"/>
        <v>0</v>
      </c>
      <c r="AD341" s="197"/>
      <c r="AE341" s="274">
        <f t="shared" ca="1" si="211"/>
        <v>1.6821425527395739E-3</v>
      </c>
      <c r="AF341" s="166">
        <f t="shared" ca="1" si="212"/>
        <v>0.58054408438773453</v>
      </c>
      <c r="AG341" s="16">
        <f t="shared" ca="1" si="213"/>
        <v>0</v>
      </c>
      <c r="AH341" s="16">
        <f t="shared" ca="1" si="214"/>
        <v>0</v>
      </c>
      <c r="AI341" s="168">
        <f t="shared" ca="1" si="215"/>
        <v>0</v>
      </c>
      <c r="AJ341" s="158">
        <f t="shared" ca="1" si="216"/>
        <v>0</v>
      </c>
      <c r="AK341" s="16">
        <f t="shared" ca="1" si="217"/>
        <v>0</v>
      </c>
      <c r="AL341" s="168">
        <f t="shared" ca="1" si="226"/>
        <v>0</v>
      </c>
      <c r="AM341" s="158">
        <f t="shared" ca="1" si="227"/>
        <v>0</v>
      </c>
      <c r="AN341" s="158">
        <f t="shared" ca="1" si="228"/>
        <v>0</v>
      </c>
      <c r="AO341" s="169" t="e">
        <f t="shared" ca="1" si="229"/>
        <v>#DIV/0!</v>
      </c>
      <c r="AP341" s="169" t="e">
        <f t="shared" ca="1" si="230"/>
        <v>#NUM!</v>
      </c>
      <c r="AQ341" s="158">
        <f t="shared" ca="1" si="231"/>
        <v>0</v>
      </c>
      <c r="AR341" s="158">
        <f t="shared" ca="1" si="232"/>
        <v>0</v>
      </c>
      <c r="AS341" s="170"/>
      <c r="AT341" s="159"/>
      <c r="AU341" s="159"/>
    </row>
    <row r="342" spans="1:47" x14ac:dyDescent="0.6">
      <c r="A342" s="171" t="str">
        <f t="shared" ca="1" si="197"/>
        <v>Januar 2052</v>
      </c>
      <c r="B342" s="191">
        <v>0</v>
      </c>
      <c r="C342" s="269">
        <f t="shared" ca="1" si="218"/>
        <v>5.4899999999999997E-2</v>
      </c>
      <c r="D342" s="173" t="str">
        <f t="shared" ca="1" si="219"/>
        <v/>
      </c>
      <c r="E342" s="174" t="str">
        <f t="shared" ca="1" si="220"/>
        <v/>
      </c>
      <c r="F342" s="175">
        <f t="shared" ca="1" si="221"/>
        <v>49</v>
      </c>
      <c r="G342" s="10">
        <v>325</v>
      </c>
      <c r="H342" s="176">
        <f t="shared" ca="1" si="222"/>
        <v>0</v>
      </c>
      <c r="I342" s="12">
        <f t="shared" ca="1" si="223"/>
        <v>0</v>
      </c>
      <c r="J342" s="12">
        <f t="shared" ca="1" si="198"/>
        <v>0</v>
      </c>
      <c r="K342" s="177">
        <f t="shared" ca="1" si="199"/>
        <v>0</v>
      </c>
      <c r="L342" s="177">
        <f t="shared" ca="1" si="200"/>
        <v>0</v>
      </c>
      <c r="M342" s="11">
        <f t="shared" ca="1" si="201"/>
        <v>0</v>
      </c>
      <c r="N342" s="12">
        <f ca="1">IF(Y342=0, 0, ROUND(SUM(Y$17:Y342)-SUM(J$17:J342),0))</f>
        <v>0</v>
      </c>
      <c r="O342" s="12" t="str">
        <f t="shared" ca="1" si="202"/>
        <v/>
      </c>
      <c r="P342" s="12" t="str">
        <f t="shared" ca="1" si="203"/>
        <v/>
      </c>
      <c r="Q342" s="178">
        <f t="shared" ca="1" si="204"/>
        <v>5000000</v>
      </c>
      <c r="R342" s="178">
        <f t="shared" ca="1" si="204"/>
        <v>0</v>
      </c>
      <c r="S342" s="178">
        <f t="shared" ca="1" si="204"/>
        <v>358488</v>
      </c>
      <c r="T342" s="178">
        <f t="shared" ca="1" si="204"/>
        <v>628000</v>
      </c>
      <c r="U342" s="179" t="str">
        <f t="shared" ca="1" si="205"/>
        <v/>
      </c>
      <c r="V342" s="180">
        <f t="shared" ca="1" si="196"/>
        <v>0.57999999999999996</v>
      </c>
      <c r="W342" s="181">
        <f t="shared" ca="1" si="224"/>
        <v>0</v>
      </c>
      <c r="X342" s="177">
        <f t="shared" ca="1" si="206"/>
        <v>0</v>
      </c>
      <c r="Y342" s="12">
        <f t="shared" ca="1" si="207"/>
        <v>0</v>
      </c>
      <c r="Z342" s="182">
        <f t="shared" ca="1" si="208"/>
        <v>0</v>
      </c>
      <c r="AA342" s="271">
        <f t="shared" ca="1" si="225"/>
        <v>0.22</v>
      </c>
      <c r="AB342" s="12">
        <f t="shared" ca="1" si="209"/>
        <v>0</v>
      </c>
      <c r="AC342" s="12">
        <f t="shared" ca="1" si="210"/>
        <v>0</v>
      </c>
      <c r="AD342" s="199"/>
      <c r="AE342" s="273">
        <f t="shared" ca="1" si="211"/>
        <v>1.6821425527395739E-3</v>
      </c>
      <c r="AF342" s="184">
        <f t="shared" ca="1" si="212"/>
        <v>0.57956752647964471</v>
      </c>
      <c r="AG342" s="12">
        <f t="shared" ca="1" si="213"/>
        <v>0</v>
      </c>
      <c r="AH342" s="12">
        <f t="shared" ca="1" si="214"/>
        <v>0</v>
      </c>
      <c r="AI342" s="185">
        <f t="shared" ca="1" si="215"/>
        <v>0</v>
      </c>
      <c r="AJ342" s="177">
        <f t="shared" ca="1" si="216"/>
        <v>0</v>
      </c>
      <c r="AK342" s="12">
        <f t="shared" ca="1" si="217"/>
        <v>0</v>
      </c>
      <c r="AL342" s="185">
        <f t="shared" ca="1" si="226"/>
        <v>0</v>
      </c>
      <c r="AM342" s="177">
        <f t="shared" ca="1" si="227"/>
        <v>0</v>
      </c>
      <c r="AN342" s="177">
        <f t="shared" ca="1" si="228"/>
        <v>0</v>
      </c>
      <c r="AO342" s="196" t="e">
        <f t="shared" ca="1" si="229"/>
        <v>#DIV/0!</v>
      </c>
      <c r="AP342" s="196" t="e">
        <f t="shared" ca="1" si="230"/>
        <v>#NUM!</v>
      </c>
      <c r="AQ342" s="177">
        <f t="shared" ca="1" si="231"/>
        <v>0</v>
      </c>
      <c r="AR342" s="177">
        <f t="shared" ca="1" si="232"/>
        <v>0</v>
      </c>
      <c r="AS342" s="189"/>
      <c r="AT342" s="190"/>
      <c r="AU342" s="190"/>
    </row>
    <row r="343" spans="1:47" x14ac:dyDescent="0.6">
      <c r="A343" s="152" t="str">
        <f t="shared" ca="1" si="197"/>
        <v>Februar 2052</v>
      </c>
      <c r="B343" s="191">
        <v>0</v>
      </c>
      <c r="C343" s="270">
        <f t="shared" ca="1" si="218"/>
        <v>5.4899999999999997E-2</v>
      </c>
      <c r="D343" s="192" t="str">
        <f t="shared" ca="1" si="219"/>
        <v/>
      </c>
      <c r="E343" s="193" t="str">
        <f t="shared" ca="1" si="220"/>
        <v/>
      </c>
      <c r="F343" s="194">
        <f t="shared" ca="1" si="221"/>
        <v>49</v>
      </c>
      <c r="G343" s="14">
        <v>326</v>
      </c>
      <c r="H343" s="157">
        <f t="shared" ca="1" si="222"/>
        <v>0</v>
      </c>
      <c r="I343" s="16">
        <f t="shared" ca="1" si="223"/>
        <v>0</v>
      </c>
      <c r="J343" s="16">
        <f t="shared" ca="1" si="198"/>
        <v>0</v>
      </c>
      <c r="K343" s="158">
        <f t="shared" ca="1" si="199"/>
        <v>0</v>
      </c>
      <c r="L343" s="158">
        <f t="shared" ca="1" si="200"/>
        <v>0</v>
      </c>
      <c r="M343" s="15">
        <f t="shared" ca="1" si="201"/>
        <v>0</v>
      </c>
      <c r="N343" s="16">
        <f ca="1">IF(Y343=0, 0, ROUND(SUM(Y$17:Y343)-SUM(J$17:J343),0))</f>
        <v>0</v>
      </c>
      <c r="O343" s="16" t="str">
        <f t="shared" ca="1" si="202"/>
        <v/>
      </c>
      <c r="P343" s="16" t="str">
        <f t="shared" ca="1" si="203"/>
        <v/>
      </c>
      <c r="Q343" s="160">
        <f t="shared" ca="1" si="204"/>
        <v>5000000</v>
      </c>
      <c r="R343" s="160">
        <f t="shared" ca="1" si="204"/>
        <v>0</v>
      </c>
      <c r="S343" s="160">
        <f t="shared" ca="1" si="204"/>
        <v>358488</v>
      </c>
      <c r="T343" s="160">
        <f t="shared" ca="1" si="204"/>
        <v>628000</v>
      </c>
      <c r="U343" s="161" t="str">
        <f t="shared" ca="1" si="205"/>
        <v/>
      </c>
      <c r="V343" s="162">
        <f t="shared" ca="1" si="196"/>
        <v>0.57999999999999996</v>
      </c>
      <c r="W343" s="195">
        <f t="shared" ca="1" si="224"/>
        <v>0</v>
      </c>
      <c r="X343" s="158">
        <f t="shared" ca="1" si="206"/>
        <v>0</v>
      </c>
      <c r="Y343" s="16">
        <f t="shared" ca="1" si="207"/>
        <v>0</v>
      </c>
      <c r="Z343" s="164">
        <f t="shared" ca="1" si="208"/>
        <v>0</v>
      </c>
      <c r="AA343" s="272">
        <f t="shared" ca="1" si="225"/>
        <v>0.22</v>
      </c>
      <c r="AB343" s="16">
        <f t="shared" ca="1" si="209"/>
        <v>0</v>
      </c>
      <c r="AC343" s="16">
        <f t="shared" ca="1" si="210"/>
        <v>0</v>
      </c>
      <c r="AD343" s="197"/>
      <c r="AE343" s="274">
        <f t="shared" ca="1" si="211"/>
        <v>1.6821425527395739E-3</v>
      </c>
      <c r="AF343" s="166">
        <f t="shared" ca="1" si="212"/>
        <v>0.57859261128116724</v>
      </c>
      <c r="AG343" s="16">
        <f t="shared" ca="1" si="213"/>
        <v>0</v>
      </c>
      <c r="AH343" s="16">
        <f t="shared" ca="1" si="214"/>
        <v>0</v>
      </c>
      <c r="AI343" s="168">
        <f t="shared" ca="1" si="215"/>
        <v>0</v>
      </c>
      <c r="AJ343" s="158">
        <f t="shared" ca="1" si="216"/>
        <v>0</v>
      </c>
      <c r="AK343" s="16">
        <f t="shared" ca="1" si="217"/>
        <v>0</v>
      </c>
      <c r="AL343" s="168">
        <f t="shared" ca="1" si="226"/>
        <v>0</v>
      </c>
      <c r="AM343" s="158">
        <f t="shared" ca="1" si="227"/>
        <v>0</v>
      </c>
      <c r="AN343" s="158">
        <f t="shared" ca="1" si="228"/>
        <v>0</v>
      </c>
      <c r="AO343" s="169" t="e">
        <f t="shared" ca="1" si="229"/>
        <v>#DIV/0!</v>
      </c>
      <c r="AP343" s="169" t="e">
        <f t="shared" ca="1" si="230"/>
        <v>#NUM!</v>
      </c>
      <c r="AQ343" s="158">
        <f t="shared" ca="1" si="231"/>
        <v>0</v>
      </c>
      <c r="AR343" s="158">
        <f t="shared" ca="1" si="232"/>
        <v>0</v>
      </c>
      <c r="AS343" s="170"/>
      <c r="AT343" s="159"/>
      <c r="AU343" s="159"/>
    </row>
    <row r="344" spans="1:47" x14ac:dyDescent="0.6">
      <c r="A344" s="171" t="str">
        <f t="shared" ca="1" si="197"/>
        <v>Mars 2052</v>
      </c>
      <c r="B344" s="191">
        <v>0</v>
      </c>
      <c r="C344" s="269">
        <f t="shared" ca="1" si="218"/>
        <v>5.4899999999999997E-2</v>
      </c>
      <c r="D344" s="173" t="str">
        <f t="shared" ca="1" si="219"/>
        <v/>
      </c>
      <c r="E344" s="174" t="str">
        <f t="shared" ca="1" si="220"/>
        <v/>
      </c>
      <c r="F344" s="175">
        <f t="shared" ca="1" si="221"/>
        <v>49</v>
      </c>
      <c r="G344" s="10">
        <v>327</v>
      </c>
      <c r="H344" s="176">
        <f t="shared" ca="1" si="222"/>
        <v>0</v>
      </c>
      <c r="I344" s="12">
        <f t="shared" ca="1" si="223"/>
        <v>0</v>
      </c>
      <c r="J344" s="12">
        <f t="shared" ca="1" si="198"/>
        <v>0</v>
      </c>
      <c r="K344" s="177">
        <f t="shared" ca="1" si="199"/>
        <v>0</v>
      </c>
      <c r="L344" s="177">
        <f t="shared" ca="1" si="200"/>
        <v>0</v>
      </c>
      <c r="M344" s="11">
        <f t="shared" ca="1" si="201"/>
        <v>0</v>
      </c>
      <c r="N344" s="12">
        <f ca="1">IF(Y344=0, 0, ROUND(SUM(Y$17:Y344)-SUM(J$17:J344),0))</f>
        <v>0</v>
      </c>
      <c r="O344" s="12" t="str">
        <f t="shared" ca="1" si="202"/>
        <v/>
      </c>
      <c r="P344" s="12" t="str">
        <f t="shared" ca="1" si="203"/>
        <v/>
      </c>
      <c r="Q344" s="178">
        <f t="shared" ca="1" si="204"/>
        <v>5000000</v>
      </c>
      <c r="R344" s="178">
        <f t="shared" ca="1" si="204"/>
        <v>0</v>
      </c>
      <c r="S344" s="178">
        <f t="shared" ca="1" si="204"/>
        <v>358488</v>
      </c>
      <c r="T344" s="178">
        <f t="shared" ca="1" si="204"/>
        <v>628000</v>
      </c>
      <c r="U344" s="179" t="str">
        <f t="shared" ca="1" si="205"/>
        <v/>
      </c>
      <c r="V344" s="180">
        <f t="shared" ca="1" si="196"/>
        <v>0.57999999999999996</v>
      </c>
      <c r="W344" s="181">
        <f t="shared" ca="1" si="224"/>
        <v>0</v>
      </c>
      <c r="X344" s="177">
        <f t="shared" ca="1" si="206"/>
        <v>0</v>
      </c>
      <c r="Y344" s="12">
        <f t="shared" ca="1" si="207"/>
        <v>0</v>
      </c>
      <c r="Z344" s="182">
        <f t="shared" ca="1" si="208"/>
        <v>0</v>
      </c>
      <c r="AA344" s="271">
        <f t="shared" ca="1" si="225"/>
        <v>0.22</v>
      </c>
      <c r="AB344" s="12">
        <f t="shared" ca="1" si="209"/>
        <v>0</v>
      </c>
      <c r="AC344" s="12">
        <f t="shared" ca="1" si="210"/>
        <v>0</v>
      </c>
      <c r="AD344" s="199"/>
      <c r="AE344" s="273">
        <f t="shared" ca="1" si="211"/>
        <v>1.6821425527395739E-3</v>
      </c>
      <c r="AF344" s="184">
        <f t="shared" ca="1" si="212"/>
        <v>0.57761933602903048</v>
      </c>
      <c r="AG344" s="12">
        <f t="shared" ca="1" si="213"/>
        <v>0</v>
      </c>
      <c r="AH344" s="12">
        <f t="shared" ca="1" si="214"/>
        <v>0</v>
      </c>
      <c r="AI344" s="185">
        <f t="shared" ca="1" si="215"/>
        <v>0</v>
      </c>
      <c r="AJ344" s="177">
        <f t="shared" ca="1" si="216"/>
        <v>0</v>
      </c>
      <c r="AK344" s="12">
        <f t="shared" ca="1" si="217"/>
        <v>0</v>
      </c>
      <c r="AL344" s="185">
        <f t="shared" ca="1" si="226"/>
        <v>0</v>
      </c>
      <c r="AM344" s="177">
        <f t="shared" ca="1" si="227"/>
        <v>0</v>
      </c>
      <c r="AN344" s="177">
        <f t="shared" ca="1" si="228"/>
        <v>0</v>
      </c>
      <c r="AO344" s="196" t="e">
        <f t="shared" ca="1" si="229"/>
        <v>#DIV/0!</v>
      </c>
      <c r="AP344" s="196" t="e">
        <f t="shared" ca="1" si="230"/>
        <v>#NUM!</v>
      </c>
      <c r="AQ344" s="177">
        <f t="shared" ca="1" si="231"/>
        <v>0</v>
      </c>
      <c r="AR344" s="177">
        <f t="shared" ca="1" si="232"/>
        <v>0</v>
      </c>
      <c r="AS344" s="189"/>
      <c r="AT344" s="190"/>
      <c r="AU344" s="190"/>
    </row>
    <row r="345" spans="1:47" x14ac:dyDescent="0.6">
      <c r="A345" s="152" t="str">
        <f t="shared" ca="1" si="197"/>
        <v>April 2052</v>
      </c>
      <c r="B345" s="191">
        <v>0</v>
      </c>
      <c r="C345" s="270">
        <f t="shared" ca="1" si="218"/>
        <v>5.4899999999999997E-2</v>
      </c>
      <c r="D345" s="192" t="str">
        <f t="shared" ca="1" si="219"/>
        <v/>
      </c>
      <c r="E345" s="193" t="str">
        <f t="shared" ca="1" si="220"/>
        <v/>
      </c>
      <c r="F345" s="194">
        <f t="shared" ca="1" si="221"/>
        <v>49</v>
      </c>
      <c r="G345" s="14">
        <v>328</v>
      </c>
      <c r="H345" s="157">
        <f t="shared" ca="1" si="222"/>
        <v>0</v>
      </c>
      <c r="I345" s="16">
        <f t="shared" ca="1" si="223"/>
        <v>0</v>
      </c>
      <c r="J345" s="16">
        <f t="shared" ca="1" si="198"/>
        <v>0</v>
      </c>
      <c r="K345" s="158">
        <f t="shared" ca="1" si="199"/>
        <v>0</v>
      </c>
      <c r="L345" s="158">
        <f t="shared" ca="1" si="200"/>
        <v>0</v>
      </c>
      <c r="M345" s="15">
        <f t="shared" ca="1" si="201"/>
        <v>0</v>
      </c>
      <c r="N345" s="16">
        <f ca="1">IF(Y345=0, 0, ROUND(SUM(Y$17:Y345)-SUM(J$17:J345),0))</f>
        <v>0</v>
      </c>
      <c r="O345" s="16" t="str">
        <f t="shared" ca="1" si="202"/>
        <v/>
      </c>
      <c r="P345" s="16" t="str">
        <f t="shared" ca="1" si="203"/>
        <v/>
      </c>
      <c r="Q345" s="160">
        <f t="shared" ca="1" si="204"/>
        <v>5000000</v>
      </c>
      <c r="R345" s="160">
        <f t="shared" ca="1" si="204"/>
        <v>0</v>
      </c>
      <c r="S345" s="160">
        <f t="shared" ca="1" si="204"/>
        <v>358488</v>
      </c>
      <c r="T345" s="160">
        <f t="shared" ca="1" si="204"/>
        <v>628000</v>
      </c>
      <c r="U345" s="161" t="str">
        <f t="shared" ca="1" si="205"/>
        <v/>
      </c>
      <c r="V345" s="162">
        <f t="shared" ca="1" si="196"/>
        <v>0.57999999999999996</v>
      </c>
      <c r="W345" s="195">
        <f t="shared" ca="1" si="224"/>
        <v>0</v>
      </c>
      <c r="X345" s="158">
        <f t="shared" ca="1" si="206"/>
        <v>0</v>
      </c>
      <c r="Y345" s="16">
        <f t="shared" ca="1" si="207"/>
        <v>0</v>
      </c>
      <c r="Z345" s="164">
        <f t="shared" ca="1" si="208"/>
        <v>0</v>
      </c>
      <c r="AA345" s="272">
        <f t="shared" ca="1" si="225"/>
        <v>0.22</v>
      </c>
      <c r="AB345" s="16">
        <f t="shared" ca="1" si="209"/>
        <v>0</v>
      </c>
      <c r="AC345" s="16">
        <f t="shared" ca="1" si="210"/>
        <v>0</v>
      </c>
      <c r="AD345" s="197"/>
      <c r="AE345" s="274">
        <f t="shared" ca="1" si="211"/>
        <v>1.6821425527395739E-3</v>
      </c>
      <c r="AF345" s="166">
        <f t="shared" ca="1" si="212"/>
        <v>0.57664769796461091</v>
      </c>
      <c r="AG345" s="16">
        <f t="shared" ca="1" si="213"/>
        <v>0</v>
      </c>
      <c r="AH345" s="16">
        <f t="shared" ca="1" si="214"/>
        <v>0</v>
      </c>
      <c r="AI345" s="168">
        <f t="shared" ca="1" si="215"/>
        <v>0</v>
      </c>
      <c r="AJ345" s="158">
        <f t="shared" ca="1" si="216"/>
        <v>0</v>
      </c>
      <c r="AK345" s="16">
        <f t="shared" ca="1" si="217"/>
        <v>0</v>
      </c>
      <c r="AL345" s="168">
        <f t="shared" ca="1" si="226"/>
        <v>0</v>
      </c>
      <c r="AM345" s="158">
        <f t="shared" ca="1" si="227"/>
        <v>0</v>
      </c>
      <c r="AN345" s="158">
        <f t="shared" ca="1" si="228"/>
        <v>0</v>
      </c>
      <c r="AO345" s="169" t="e">
        <f t="shared" ca="1" si="229"/>
        <v>#DIV/0!</v>
      </c>
      <c r="AP345" s="169" t="e">
        <f t="shared" ca="1" si="230"/>
        <v>#NUM!</v>
      </c>
      <c r="AQ345" s="158">
        <f t="shared" ca="1" si="231"/>
        <v>0</v>
      </c>
      <c r="AR345" s="158">
        <f t="shared" ca="1" si="232"/>
        <v>0</v>
      </c>
      <c r="AS345" s="170"/>
      <c r="AT345" s="159"/>
      <c r="AU345" s="159"/>
    </row>
    <row r="346" spans="1:47" x14ac:dyDescent="0.6">
      <c r="A346" s="171" t="str">
        <f t="shared" ca="1" si="197"/>
        <v>Mai 2052</v>
      </c>
      <c r="B346" s="191">
        <v>0</v>
      </c>
      <c r="C346" s="269">
        <f t="shared" ca="1" si="218"/>
        <v>5.4899999999999997E-2</v>
      </c>
      <c r="D346" s="173" t="str">
        <f t="shared" ca="1" si="219"/>
        <v/>
      </c>
      <c r="E346" s="174" t="str">
        <f t="shared" ca="1" si="220"/>
        <v/>
      </c>
      <c r="F346" s="175">
        <f t="shared" ca="1" si="221"/>
        <v>49</v>
      </c>
      <c r="G346" s="10">
        <v>329</v>
      </c>
      <c r="H346" s="176">
        <f t="shared" ca="1" si="222"/>
        <v>0</v>
      </c>
      <c r="I346" s="12">
        <f t="shared" ca="1" si="223"/>
        <v>0</v>
      </c>
      <c r="J346" s="12">
        <f t="shared" ca="1" si="198"/>
        <v>0</v>
      </c>
      <c r="K346" s="177">
        <f t="shared" ca="1" si="199"/>
        <v>0</v>
      </c>
      <c r="L346" s="177">
        <f t="shared" ca="1" si="200"/>
        <v>0</v>
      </c>
      <c r="M346" s="11">
        <f t="shared" ca="1" si="201"/>
        <v>0</v>
      </c>
      <c r="N346" s="12">
        <f ca="1">IF(Y346=0, 0, ROUND(SUM(Y$17:Y346)-SUM(J$17:J346),0))</f>
        <v>0</v>
      </c>
      <c r="O346" s="12" t="str">
        <f t="shared" ca="1" si="202"/>
        <v/>
      </c>
      <c r="P346" s="12" t="str">
        <f t="shared" ca="1" si="203"/>
        <v/>
      </c>
      <c r="Q346" s="178">
        <f t="shared" ca="1" si="204"/>
        <v>5000000</v>
      </c>
      <c r="R346" s="178">
        <f t="shared" ca="1" si="204"/>
        <v>0</v>
      </c>
      <c r="S346" s="178">
        <f t="shared" ca="1" si="204"/>
        <v>358488</v>
      </c>
      <c r="T346" s="178">
        <f t="shared" ca="1" si="204"/>
        <v>628000</v>
      </c>
      <c r="U346" s="179" t="str">
        <f t="shared" ca="1" si="205"/>
        <v/>
      </c>
      <c r="V346" s="180">
        <f t="shared" ca="1" si="196"/>
        <v>0.57999999999999996</v>
      </c>
      <c r="W346" s="181">
        <f t="shared" ca="1" si="224"/>
        <v>0</v>
      </c>
      <c r="X346" s="177">
        <f t="shared" ca="1" si="206"/>
        <v>0</v>
      </c>
      <c r="Y346" s="12">
        <f t="shared" ca="1" si="207"/>
        <v>0</v>
      </c>
      <c r="Z346" s="182">
        <f t="shared" ca="1" si="208"/>
        <v>0</v>
      </c>
      <c r="AA346" s="271">
        <f t="shared" ca="1" si="225"/>
        <v>0.22</v>
      </c>
      <c r="AB346" s="12">
        <f t="shared" ca="1" si="209"/>
        <v>0</v>
      </c>
      <c r="AC346" s="12">
        <f t="shared" ca="1" si="210"/>
        <v>0</v>
      </c>
      <c r="AD346" s="199"/>
      <c r="AE346" s="273">
        <f t="shared" ca="1" si="211"/>
        <v>1.6821425527395739E-3</v>
      </c>
      <c r="AF346" s="184">
        <f t="shared" ca="1" si="212"/>
        <v>0.57567769433392535</v>
      </c>
      <c r="AG346" s="12">
        <f t="shared" ca="1" si="213"/>
        <v>0</v>
      </c>
      <c r="AH346" s="12">
        <f t="shared" ca="1" si="214"/>
        <v>0</v>
      </c>
      <c r="AI346" s="185">
        <f t="shared" ca="1" si="215"/>
        <v>0</v>
      </c>
      <c r="AJ346" s="177">
        <f t="shared" ca="1" si="216"/>
        <v>0</v>
      </c>
      <c r="AK346" s="12">
        <f t="shared" ca="1" si="217"/>
        <v>0</v>
      </c>
      <c r="AL346" s="185">
        <f t="shared" ca="1" si="226"/>
        <v>0</v>
      </c>
      <c r="AM346" s="177">
        <f t="shared" ca="1" si="227"/>
        <v>0</v>
      </c>
      <c r="AN346" s="177">
        <f t="shared" ca="1" si="228"/>
        <v>0</v>
      </c>
      <c r="AO346" s="196" t="e">
        <f t="shared" ca="1" si="229"/>
        <v>#DIV/0!</v>
      </c>
      <c r="AP346" s="196" t="e">
        <f t="shared" ca="1" si="230"/>
        <v>#NUM!</v>
      </c>
      <c r="AQ346" s="177">
        <f t="shared" ca="1" si="231"/>
        <v>0</v>
      </c>
      <c r="AR346" s="177">
        <f t="shared" ca="1" si="232"/>
        <v>0</v>
      </c>
      <c r="AS346" s="189"/>
      <c r="AT346" s="190"/>
      <c r="AU346" s="190"/>
    </row>
    <row r="347" spans="1:47" x14ac:dyDescent="0.6">
      <c r="A347" s="152" t="str">
        <f t="shared" ca="1" si="197"/>
        <v>Juni 2052</v>
      </c>
      <c r="B347" s="191">
        <v>0</v>
      </c>
      <c r="C347" s="270">
        <f t="shared" ca="1" si="218"/>
        <v>5.4899999999999997E-2</v>
      </c>
      <c r="D347" s="192" t="str">
        <f t="shared" ca="1" si="219"/>
        <v/>
      </c>
      <c r="E347" s="193" t="str">
        <f t="shared" ca="1" si="220"/>
        <v/>
      </c>
      <c r="F347" s="194">
        <f t="shared" ca="1" si="221"/>
        <v>49</v>
      </c>
      <c r="G347" s="14">
        <v>330</v>
      </c>
      <c r="H347" s="157">
        <f t="shared" ca="1" si="222"/>
        <v>0</v>
      </c>
      <c r="I347" s="16">
        <f t="shared" ca="1" si="223"/>
        <v>0</v>
      </c>
      <c r="J347" s="16">
        <f t="shared" ca="1" si="198"/>
        <v>0</v>
      </c>
      <c r="K347" s="158">
        <f t="shared" ca="1" si="199"/>
        <v>0</v>
      </c>
      <c r="L347" s="158">
        <f t="shared" ca="1" si="200"/>
        <v>0</v>
      </c>
      <c r="M347" s="15">
        <f t="shared" ca="1" si="201"/>
        <v>0</v>
      </c>
      <c r="N347" s="16">
        <f ca="1">IF(Y347=0, 0, ROUND(SUM(Y$17:Y347)-SUM(J$17:J347),0))</f>
        <v>0</v>
      </c>
      <c r="O347" s="16" t="str">
        <f t="shared" ca="1" si="202"/>
        <v/>
      </c>
      <c r="P347" s="16" t="str">
        <f t="shared" ca="1" si="203"/>
        <v/>
      </c>
      <c r="Q347" s="160">
        <f t="shared" ca="1" si="204"/>
        <v>5000000</v>
      </c>
      <c r="R347" s="160">
        <f t="shared" ca="1" si="204"/>
        <v>0</v>
      </c>
      <c r="S347" s="160">
        <f t="shared" ca="1" si="204"/>
        <v>358488</v>
      </c>
      <c r="T347" s="160">
        <f t="shared" ca="1" si="204"/>
        <v>628000</v>
      </c>
      <c r="U347" s="161" t="str">
        <f t="shared" ca="1" si="205"/>
        <v/>
      </c>
      <c r="V347" s="162">
        <f t="shared" ca="1" si="196"/>
        <v>0.57999999999999996</v>
      </c>
      <c r="W347" s="195">
        <f t="shared" ca="1" si="224"/>
        <v>0</v>
      </c>
      <c r="X347" s="158">
        <f t="shared" ca="1" si="206"/>
        <v>0</v>
      </c>
      <c r="Y347" s="16">
        <f t="shared" ca="1" si="207"/>
        <v>0</v>
      </c>
      <c r="Z347" s="164">
        <f t="shared" ca="1" si="208"/>
        <v>0</v>
      </c>
      <c r="AA347" s="272">
        <f t="shared" ca="1" si="225"/>
        <v>0.22</v>
      </c>
      <c r="AB347" s="16">
        <f t="shared" ca="1" si="209"/>
        <v>0</v>
      </c>
      <c r="AC347" s="16">
        <f t="shared" ca="1" si="210"/>
        <v>0</v>
      </c>
      <c r="AD347" s="197"/>
      <c r="AE347" s="274">
        <f t="shared" ca="1" si="211"/>
        <v>1.6821425527395739E-3</v>
      </c>
      <c r="AF347" s="166">
        <f t="shared" ca="1" si="212"/>
        <v>0.57470932238762329</v>
      </c>
      <c r="AG347" s="16">
        <f t="shared" ca="1" si="213"/>
        <v>0</v>
      </c>
      <c r="AH347" s="16">
        <f t="shared" ca="1" si="214"/>
        <v>0</v>
      </c>
      <c r="AI347" s="168">
        <f t="shared" ca="1" si="215"/>
        <v>0</v>
      </c>
      <c r="AJ347" s="158">
        <f t="shared" ca="1" si="216"/>
        <v>0</v>
      </c>
      <c r="AK347" s="16">
        <f t="shared" ca="1" si="217"/>
        <v>0</v>
      </c>
      <c r="AL347" s="168">
        <f t="shared" ca="1" si="226"/>
        <v>0</v>
      </c>
      <c r="AM347" s="158">
        <f t="shared" ca="1" si="227"/>
        <v>0</v>
      </c>
      <c r="AN347" s="158">
        <f t="shared" ca="1" si="228"/>
        <v>0</v>
      </c>
      <c r="AO347" s="169" t="e">
        <f t="shared" ca="1" si="229"/>
        <v>#DIV/0!</v>
      </c>
      <c r="AP347" s="169" t="e">
        <f t="shared" ca="1" si="230"/>
        <v>#NUM!</v>
      </c>
      <c r="AQ347" s="158">
        <f t="shared" ca="1" si="231"/>
        <v>0</v>
      </c>
      <c r="AR347" s="158">
        <f t="shared" ca="1" si="232"/>
        <v>0</v>
      </c>
      <c r="AS347" s="170"/>
      <c r="AT347" s="159"/>
      <c r="AU347" s="159"/>
    </row>
    <row r="348" spans="1:47" x14ac:dyDescent="0.6">
      <c r="A348" s="171" t="str">
        <f t="shared" ca="1" si="197"/>
        <v>Juli 2052</v>
      </c>
      <c r="B348" s="191">
        <v>0</v>
      </c>
      <c r="C348" s="269">
        <f t="shared" ca="1" si="218"/>
        <v>5.4899999999999997E-2</v>
      </c>
      <c r="D348" s="173" t="str">
        <f t="shared" ca="1" si="219"/>
        <v/>
      </c>
      <c r="E348" s="174" t="str">
        <f t="shared" ca="1" si="220"/>
        <v/>
      </c>
      <c r="F348" s="175">
        <f t="shared" ca="1" si="221"/>
        <v>49</v>
      </c>
      <c r="G348" s="10">
        <v>331</v>
      </c>
      <c r="H348" s="176">
        <f t="shared" ca="1" si="222"/>
        <v>0</v>
      </c>
      <c r="I348" s="12">
        <f t="shared" ca="1" si="223"/>
        <v>0</v>
      </c>
      <c r="J348" s="12">
        <f t="shared" ca="1" si="198"/>
        <v>0</v>
      </c>
      <c r="K348" s="177">
        <f t="shared" ca="1" si="199"/>
        <v>0</v>
      </c>
      <c r="L348" s="177">
        <f t="shared" ca="1" si="200"/>
        <v>0</v>
      </c>
      <c r="M348" s="11">
        <f t="shared" ca="1" si="201"/>
        <v>0</v>
      </c>
      <c r="N348" s="12">
        <f ca="1">IF(Y348=0, 0, ROUND(SUM(Y$17:Y348)-SUM(J$17:J348),0))</f>
        <v>0</v>
      </c>
      <c r="O348" s="12" t="str">
        <f t="shared" ca="1" si="202"/>
        <v/>
      </c>
      <c r="P348" s="12" t="str">
        <f t="shared" ca="1" si="203"/>
        <v/>
      </c>
      <c r="Q348" s="178">
        <f t="shared" ca="1" si="204"/>
        <v>5000000</v>
      </c>
      <c r="R348" s="178">
        <f t="shared" ca="1" si="204"/>
        <v>0</v>
      </c>
      <c r="S348" s="178">
        <f t="shared" ca="1" si="204"/>
        <v>358488</v>
      </c>
      <c r="T348" s="178">
        <f t="shared" ca="1" si="204"/>
        <v>628000</v>
      </c>
      <c r="U348" s="179" t="str">
        <f t="shared" ca="1" si="205"/>
        <v/>
      </c>
      <c r="V348" s="180">
        <f t="shared" ca="1" si="196"/>
        <v>0.57999999999999996</v>
      </c>
      <c r="W348" s="181">
        <f t="shared" ca="1" si="224"/>
        <v>0</v>
      </c>
      <c r="X348" s="177">
        <f t="shared" ca="1" si="206"/>
        <v>0</v>
      </c>
      <c r="Y348" s="12">
        <f t="shared" ca="1" si="207"/>
        <v>0</v>
      </c>
      <c r="Z348" s="182">
        <f t="shared" ca="1" si="208"/>
        <v>0</v>
      </c>
      <c r="AA348" s="271">
        <f t="shared" ca="1" si="225"/>
        <v>0.22</v>
      </c>
      <c r="AB348" s="12">
        <f t="shared" ca="1" si="209"/>
        <v>0</v>
      </c>
      <c r="AC348" s="12">
        <f t="shared" ca="1" si="210"/>
        <v>0</v>
      </c>
      <c r="AD348" s="199"/>
      <c r="AE348" s="273">
        <f t="shared" ca="1" si="211"/>
        <v>1.6821425527395739E-3</v>
      </c>
      <c r="AF348" s="184">
        <f t="shared" ca="1" si="212"/>
        <v>0.57374257938097895</v>
      </c>
      <c r="AG348" s="12">
        <f t="shared" ca="1" si="213"/>
        <v>0</v>
      </c>
      <c r="AH348" s="12">
        <f t="shared" ca="1" si="214"/>
        <v>0</v>
      </c>
      <c r="AI348" s="185">
        <f t="shared" ca="1" si="215"/>
        <v>0</v>
      </c>
      <c r="AJ348" s="177">
        <f t="shared" ca="1" si="216"/>
        <v>0</v>
      </c>
      <c r="AK348" s="12">
        <f t="shared" ca="1" si="217"/>
        <v>0</v>
      </c>
      <c r="AL348" s="185">
        <f t="shared" ca="1" si="226"/>
        <v>0</v>
      </c>
      <c r="AM348" s="177">
        <f t="shared" ca="1" si="227"/>
        <v>0</v>
      </c>
      <c r="AN348" s="177">
        <f t="shared" ca="1" si="228"/>
        <v>0</v>
      </c>
      <c r="AO348" s="196" t="e">
        <f t="shared" ca="1" si="229"/>
        <v>#DIV/0!</v>
      </c>
      <c r="AP348" s="196" t="e">
        <f t="shared" ca="1" si="230"/>
        <v>#NUM!</v>
      </c>
      <c r="AQ348" s="177">
        <f t="shared" ca="1" si="231"/>
        <v>0</v>
      </c>
      <c r="AR348" s="177">
        <f t="shared" ca="1" si="232"/>
        <v>0</v>
      </c>
      <c r="AS348" s="189"/>
      <c r="AT348" s="190"/>
      <c r="AU348" s="190"/>
    </row>
    <row r="349" spans="1:47" x14ac:dyDescent="0.6">
      <c r="A349" s="152" t="str">
        <f t="shared" ca="1" si="197"/>
        <v>August 2052</v>
      </c>
      <c r="B349" s="191">
        <v>0</v>
      </c>
      <c r="C349" s="270">
        <f t="shared" ca="1" si="218"/>
        <v>5.4899999999999997E-2</v>
      </c>
      <c r="D349" s="192" t="str">
        <f t="shared" ca="1" si="219"/>
        <v/>
      </c>
      <c r="E349" s="193" t="str">
        <f t="shared" ca="1" si="220"/>
        <v/>
      </c>
      <c r="F349" s="194">
        <f t="shared" ca="1" si="221"/>
        <v>49</v>
      </c>
      <c r="G349" s="14">
        <v>332</v>
      </c>
      <c r="H349" s="157">
        <f t="shared" ca="1" si="222"/>
        <v>0</v>
      </c>
      <c r="I349" s="16">
        <f t="shared" ca="1" si="223"/>
        <v>0</v>
      </c>
      <c r="J349" s="16">
        <f t="shared" ca="1" si="198"/>
        <v>0</v>
      </c>
      <c r="K349" s="158">
        <f t="shared" ca="1" si="199"/>
        <v>0</v>
      </c>
      <c r="L349" s="158">
        <f t="shared" ca="1" si="200"/>
        <v>0</v>
      </c>
      <c r="M349" s="15">
        <f t="shared" ca="1" si="201"/>
        <v>0</v>
      </c>
      <c r="N349" s="16">
        <f ca="1">IF(Y349=0, 0, ROUND(SUM(Y$17:Y349)-SUM(J$17:J349),0))</f>
        <v>0</v>
      </c>
      <c r="O349" s="16" t="str">
        <f t="shared" ca="1" si="202"/>
        <v/>
      </c>
      <c r="P349" s="16" t="str">
        <f t="shared" ca="1" si="203"/>
        <v/>
      </c>
      <c r="Q349" s="160">
        <f t="shared" ca="1" si="204"/>
        <v>5000000</v>
      </c>
      <c r="R349" s="160">
        <f t="shared" ca="1" si="204"/>
        <v>0</v>
      </c>
      <c r="S349" s="160">
        <f t="shared" ca="1" si="204"/>
        <v>358488</v>
      </c>
      <c r="T349" s="160">
        <f t="shared" ca="1" si="204"/>
        <v>628000</v>
      </c>
      <c r="U349" s="161" t="str">
        <f t="shared" ca="1" si="205"/>
        <v/>
      </c>
      <c r="V349" s="162">
        <f t="shared" ca="1" si="196"/>
        <v>0.57999999999999996</v>
      </c>
      <c r="W349" s="195">
        <f t="shared" ca="1" si="224"/>
        <v>0</v>
      </c>
      <c r="X349" s="158">
        <f t="shared" ca="1" si="206"/>
        <v>0</v>
      </c>
      <c r="Y349" s="16">
        <f t="shared" ca="1" si="207"/>
        <v>0</v>
      </c>
      <c r="Z349" s="164">
        <f t="shared" ca="1" si="208"/>
        <v>0</v>
      </c>
      <c r="AA349" s="272">
        <f t="shared" ca="1" si="225"/>
        <v>0.22</v>
      </c>
      <c r="AB349" s="16">
        <f t="shared" ca="1" si="209"/>
        <v>0</v>
      </c>
      <c r="AC349" s="16">
        <f t="shared" ca="1" si="210"/>
        <v>0</v>
      </c>
      <c r="AD349" s="197"/>
      <c r="AE349" s="274">
        <f t="shared" ca="1" si="211"/>
        <v>1.6821425527395739E-3</v>
      </c>
      <c r="AF349" s="166">
        <f t="shared" ca="1" si="212"/>
        <v>0.57277746257388362</v>
      </c>
      <c r="AG349" s="16">
        <f t="shared" ca="1" si="213"/>
        <v>0</v>
      </c>
      <c r="AH349" s="16">
        <f t="shared" ca="1" si="214"/>
        <v>0</v>
      </c>
      <c r="AI349" s="168">
        <f t="shared" ca="1" si="215"/>
        <v>0</v>
      </c>
      <c r="AJ349" s="158">
        <f t="shared" ca="1" si="216"/>
        <v>0</v>
      </c>
      <c r="AK349" s="16">
        <f t="shared" ca="1" si="217"/>
        <v>0</v>
      </c>
      <c r="AL349" s="168">
        <f t="shared" ca="1" si="226"/>
        <v>0</v>
      </c>
      <c r="AM349" s="158">
        <f t="shared" ca="1" si="227"/>
        <v>0</v>
      </c>
      <c r="AN349" s="158">
        <f t="shared" ca="1" si="228"/>
        <v>0</v>
      </c>
      <c r="AO349" s="169" t="e">
        <f t="shared" ca="1" si="229"/>
        <v>#DIV/0!</v>
      </c>
      <c r="AP349" s="169" t="e">
        <f t="shared" ca="1" si="230"/>
        <v>#NUM!</v>
      </c>
      <c r="AQ349" s="158">
        <f t="shared" ca="1" si="231"/>
        <v>0</v>
      </c>
      <c r="AR349" s="158">
        <f t="shared" ca="1" si="232"/>
        <v>0</v>
      </c>
      <c r="AS349" s="170"/>
      <c r="AT349" s="159"/>
      <c r="AU349" s="159"/>
    </row>
    <row r="350" spans="1:47" x14ac:dyDescent="0.6">
      <c r="A350" s="171" t="str">
        <f t="shared" ca="1" si="197"/>
        <v>September 2052</v>
      </c>
      <c r="B350" s="191">
        <v>0</v>
      </c>
      <c r="C350" s="269">
        <f t="shared" ca="1" si="218"/>
        <v>5.4899999999999997E-2</v>
      </c>
      <c r="D350" s="173" t="str">
        <f t="shared" ca="1" si="219"/>
        <v/>
      </c>
      <c r="E350" s="174" t="str">
        <f t="shared" ca="1" si="220"/>
        <v/>
      </c>
      <c r="F350" s="175">
        <f t="shared" ca="1" si="221"/>
        <v>49</v>
      </c>
      <c r="G350" s="10">
        <v>333</v>
      </c>
      <c r="H350" s="176">
        <f t="shared" ca="1" si="222"/>
        <v>0</v>
      </c>
      <c r="I350" s="12">
        <f t="shared" ca="1" si="223"/>
        <v>0</v>
      </c>
      <c r="J350" s="12">
        <f t="shared" ca="1" si="198"/>
        <v>0</v>
      </c>
      <c r="K350" s="177">
        <f t="shared" ca="1" si="199"/>
        <v>0</v>
      </c>
      <c r="L350" s="177">
        <f t="shared" ca="1" si="200"/>
        <v>0</v>
      </c>
      <c r="M350" s="11">
        <f t="shared" ca="1" si="201"/>
        <v>0</v>
      </c>
      <c r="N350" s="12">
        <f ca="1">IF(Y350=0, 0, ROUND(SUM(Y$17:Y350)-SUM(J$17:J350),0))</f>
        <v>0</v>
      </c>
      <c r="O350" s="12" t="str">
        <f t="shared" ca="1" si="202"/>
        <v/>
      </c>
      <c r="P350" s="12" t="str">
        <f t="shared" ca="1" si="203"/>
        <v/>
      </c>
      <c r="Q350" s="178">
        <f t="shared" ca="1" si="204"/>
        <v>5000000</v>
      </c>
      <c r="R350" s="178">
        <f t="shared" ca="1" si="204"/>
        <v>0</v>
      </c>
      <c r="S350" s="178">
        <f t="shared" ca="1" si="204"/>
        <v>358488</v>
      </c>
      <c r="T350" s="178">
        <f t="shared" ca="1" si="204"/>
        <v>628000</v>
      </c>
      <c r="U350" s="179" t="str">
        <f t="shared" ca="1" si="205"/>
        <v/>
      </c>
      <c r="V350" s="180">
        <f t="shared" ca="1" si="196"/>
        <v>0.57999999999999996</v>
      </c>
      <c r="W350" s="181">
        <f t="shared" ca="1" si="224"/>
        <v>0</v>
      </c>
      <c r="X350" s="177">
        <f t="shared" ca="1" si="206"/>
        <v>0</v>
      </c>
      <c r="Y350" s="12">
        <f t="shared" ca="1" si="207"/>
        <v>0</v>
      </c>
      <c r="Z350" s="182">
        <f t="shared" ca="1" si="208"/>
        <v>0</v>
      </c>
      <c r="AA350" s="271">
        <f t="shared" ca="1" si="225"/>
        <v>0.22</v>
      </c>
      <c r="AB350" s="12">
        <f t="shared" ca="1" si="209"/>
        <v>0</v>
      </c>
      <c r="AC350" s="12">
        <f t="shared" ca="1" si="210"/>
        <v>0</v>
      </c>
      <c r="AD350" s="199"/>
      <c r="AE350" s="273">
        <f t="shared" ca="1" si="211"/>
        <v>1.6821425527395739E-3</v>
      </c>
      <c r="AF350" s="184">
        <f t="shared" ca="1" si="212"/>
        <v>0.57181396923083794</v>
      </c>
      <c r="AG350" s="12">
        <f t="shared" ca="1" si="213"/>
        <v>0</v>
      </c>
      <c r="AH350" s="12">
        <f t="shared" ca="1" si="214"/>
        <v>0</v>
      </c>
      <c r="AI350" s="185">
        <f t="shared" ca="1" si="215"/>
        <v>0</v>
      </c>
      <c r="AJ350" s="177">
        <f t="shared" ca="1" si="216"/>
        <v>0</v>
      </c>
      <c r="AK350" s="12">
        <f t="shared" ca="1" si="217"/>
        <v>0</v>
      </c>
      <c r="AL350" s="185">
        <f t="shared" ca="1" si="226"/>
        <v>0</v>
      </c>
      <c r="AM350" s="177">
        <f t="shared" ca="1" si="227"/>
        <v>0</v>
      </c>
      <c r="AN350" s="177">
        <f t="shared" ca="1" si="228"/>
        <v>0</v>
      </c>
      <c r="AO350" s="196" t="e">
        <f t="shared" ca="1" si="229"/>
        <v>#DIV/0!</v>
      </c>
      <c r="AP350" s="196" t="e">
        <f t="shared" ca="1" si="230"/>
        <v>#NUM!</v>
      </c>
      <c r="AQ350" s="177">
        <f t="shared" ca="1" si="231"/>
        <v>0</v>
      </c>
      <c r="AR350" s="177">
        <f t="shared" ca="1" si="232"/>
        <v>0</v>
      </c>
      <c r="AS350" s="189"/>
      <c r="AT350" s="190"/>
      <c r="AU350" s="190"/>
    </row>
    <row r="351" spans="1:47" x14ac:dyDescent="0.6">
      <c r="A351" s="152" t="str">
        <f t="shared" ca="1" si="197"/>
        <v>Oktober 2052</v>
      </c>
      <c r="B351" s="191">
        <v>0</v>
      </c>
      <c r="C351" s="270">
        <f t="shared" ca="1" si="218"/>
        <v>5.4899999999999997E-2</v>
      </c>
      <c r="D351" s="192" t="str">
        <f t="shared" ca="1" si="219"/>
        <v/>
      </c>
      <c r="E351" s="193" t="str">
        <f t="shared" ca="1" si="220"/>
        <v/>
      </c>
      <c r="F351" s="194">
        <f t="shared" ca="1" si="221"/>
        <v>49</v>
      </c>
      <c r="G351" s="14">
        <v>334</v>
      </c>
      <c r="H351" s="157">
        <f t="shared" ca="1" si="222"/>
        <v>0</v>
      </c>
      <c r="I351" s="16">
        <f t="shared" ca="1" si="223"/>
        <v>0</v>
      </c>
      <c r="J351" s="16">
        <f t="shared" ca="1" si="198"/>
        <v>0</v>
      </c>
      <c r="K351" s="158">
        <f t="shared" ca="1" si="199"/>
        <v>0</v>
      </c>
      <c r="L351" s="158">
        <f t="shared" ca="1" si="200"/>
        <v>0</v>
      </c>
      <c r="M351" s="15">
        <f t="shared" ca="1" si="201"/>
        <v>0</v>
      </c>
      <c r="N351" s="16">
        <f ca="1">IF(Y351=0, 0, ROUND(SUM(Y$17:Y351)-SUM(J$17:J351),0))</f>
        <v>0</v>
      </c>
      <c r="O351" s="16" t="str">
        <f t="shared" ca="1" si="202"/>
        <v/>
      </c>
      <c r="P351" s="16" t="str">
        <f t="shared" ca="1" si="203"/>
        <v/>
      </c>
      <c r="Q351" s="160">
        <f t="shared" ca="1" si="204"/>
        <v>5000000</v>
      </c>
      <c r="R351" s="160">
        <f t="shared" ca="1" si="204"/>
        <v>0</v>
      </c>
      <c r="S351" s="160">
        <f t="shared" ca="1" si="204"/>
        <v>358488</v>
      </c>
      <c r="T351" s="160">
        <f t="shared" ca="1" si="204"/>
        <v>628000</v>
      </c>
      <c r="U351" s="161" t="str">
        <f t="shared" ca="1" si="205"/>
        <v/>
      </c>
      <c r="V351" s="162">
        <f t="shared" ca="1" si="196"/>
        <v>0.57999999999999996</v>
      </c>
      <c r="W351" s="195">
        <f t="shared" ca="1" si="224"/>
        <v>0</v>
      </c>
      <c r="X351" s="158">
        <f t="shared" ca="1" si="206"/>
        <v>0</v>
      </c>
      <c r="Y351" s="16">
        <f t="shared" ca="1" si="207"/>
        <v>0</v>
      </c>
      <c r="Z351" s="164">
        <f t="shared" ca="1" si="208"/>
        <v>0</v>
      </c>
      <c r="AA351" s="272">
        <f t="shared" ca="1" si="225"/>
        <v>0.22</v>
      </c>
      <c r="AB351" s="16">
        <f t="shared" ca="1" si="209"/>
        <v>0</v>
      </c>
      <c r="AC351" s="16">
        <f t="shared" ca="1" si="210"/>
        <v>0</v>
      </c>
      <c r="AD351" s="197"/>
      <c r="AE351" s="274">
        <f t="shared" ca="1" si="211"/>
        <v>1.6821425527395739E-3</v>
      </c>
      <c r="AF351" s="166">
        <f t="shared" ca="1" si="212"/>
        <v>0.57085209662094383</v>
      </c>
      <c r="AG351" s="16">
        <f t="shared" ca="1" si="213"/>
        <v>0</v>
      </c>
      <c r="AH351" s="16">
        <f t="shared" ca="1" si="214"/>
        <v>0</v>
      </c>
      <c r="AI351" s="168">
        <f t="shared" ca="1" si="215"/>
        <v>0</v>
      </c>
      <c r="AJ351" s="158">
        <f t="shared" ca="1" si="216"/>
        <v>0</v>
      </c>
      <c r="AK351" s="16">
        <f t="shared" ca="1" si="217"/>
        <v>0</v>
      </c>
      <c r="AL351" s="168">
        <f t="shared" ca="1" si="226"/>
        <v>0</v>
      </c>
      <c r="AM351" s="158">
        <f t="shared" ca="1" si="227"/>
        <v>0</v>
      </c>
      <c r="AN351" s="158">
        <f t="shared" ca="1" si="228"/>
        <v>0</v>
      </c>
      <c r="AO351" s="169" t="e">
        <f t="shared" ca="1" si="229"/>
        <v>#DIV/0!</v>
      </c>
      <c r="AP351" s="169" t="e">
        <f t="shared" ca="1" si="230"/>
        <v>#NUM!</v>
      </c>
      <c r="AQ351" s="158">
        <f t="shared" ca="1" si="231"/>
        <v>0</v>
      </c>
      <c r="AR351" s="158">
        <f t="shared" ca="1" si="232"/>
        <v>0</v>
      </c>
      <c r="AS351" s="170"/>
      <c r="AT351" s="159"/>
      <c r="AU351" s="159"/>
    </row>
    <row r="352" spans="1:47" x14ac:dyDescent="0.6">
      <c r="A352" s="171" t="str">
        <f t="shared" ca="1" si="197"/>
        <v>November 2052</v>
      </c>
      <c r="B352" s="191">
        <v>0</v>
      </c>
      <c r="C352" s="269">
        <f t="shared" ca="1" si="218"/>
        <v>5.4899999999999997E-2</v>
      </c>
      <c r="D352" s="173" t="str">
        <f t="shared" ca="1" si="219"/>
        <v/>
      </c>
      <c r="E352" s="174" t="str">
        <f t="shared" ca="1" si="220"/>
        <v/>
      </c>
      <c r="F352" s="175">
        <f t="shared" ca="1" si="221"/>
        <v>49</v>
      </c>
      <c r="G352" s="10">
        <v>335</v>
      </c>
      <c r="H352" s="176">
        <f t="shared" ca="1" si="222"/>
        <v>0</v>
      </c>
      <c r="I352" s="12">
        <f t="shared" ca="1" si="223"/>
        <v>0</v>
      </c>
      <c r="J352" s="12">
        <f t="shared" ca="1" si="198"/>
        <v>0</v>
      </c>
      <c r="K352" s="177">
        <f t="shared" ca="1" si="199"/>
        <v>0</v>
      </c>
      <c r="L352" s="177">
        <f t="shared" ca="1" si="200"/>
        <v>0</v>
      </c>
      <c r="M352" s="11">
        <f t="shared" ca="1" si="201"/>
        <v>0</v>
      </c>
      <c r="N352" s="12">
        <f ca="1">IF(Y352=0, 0, ROUND(SUM(Y$17:Y352)-SUM(J$17:J352),0))</f>
        <v>0</v>
      </c>
      <c r="O352" s="12" t="str">
        <f t="shared" ca="1" si="202"/>
        <v/>
      </c>
      <c r="P352" s="12" t="str">
        <f t="shared" ca="1" si="203"/>
        <v/>
      </c>
      <c r="Q352" s="178">
        <f t="shared" ca="1" si="204"/>
        <v>5000000</v>
      </c>
      <c r="R352" s="178">
        <f t="shared" ca="1" si="204"/>
        <v>0</v>
      </c>
      <c r="S352" s="178">
        <f t="shared" ca="1" si="204"/>
        <v>358488</v>
      </c>
      <c r="T352" s="178">
        <f t="shared" ca="1" si="204"/>
        <v>628000</v>
      </c>
      <c r="U352" s="179" t="str">
        <f t="shared" ca="1" si="205"/>
        <v/>
      </c>
      <c r="V352" s="180">
        <f t="shared" ca="1" si="196"/>
        <v>0.57999999999999996</v>
      </c>
      <c r="W352" s="181">
        <f t="shared" ca="1" si="224"/>
        <v>0</v>
      </c>
      <c r="X352" s="177">
        <f t="shared" ca="1" si="206"/>
        <v>0</v>
      </c>
      <c r="Y352" s="12">
        <f t="shared" ca="1" si="207"/>
        <v>0</v>
      </c>
      <c r="Z352" s="182">
        <f t="shared" ca="1" si="208"/>
        <v>0</v>
      </c>
      <c r="AA352" s="271">
        <f t="shared" ca="1" si="225"/>
        <v>0.22</v>
      </c>
      <c r="AB352" s="12">
        <f t="shared" ca="1" si="209"/>
        <v>0</v>
      </c>
      <c r="AC352" s="12">
        <f t="shared" ca="1" si="210"/>
        <v>0</v>
      </c>
      <c r="AD352" s="199"/>
      <c r="AE352" s="273">
        <f t="shared" ca="1" si="211"/>
        <v>1.6821425527395739E-3</v>
      </c>
      <c r="AF352" s="184">
        <f t="shared" ca="1" si="212"/>
        <v>0.56989184201789711</v>
      </c>
      <c r="AG352" s="12">
        <f t="shared" ca="1" si="213"/>
        <v>0</v>
      </c>
      <c r="AH352" s="12">
        <f t="shared" ca="1" si="214"/>
        <v>0</v>
      </c>
      <c r="AI352" s="185">
        <f t="shared" ca="1" si="215"/>
        <v>0</v>
      </c>
      <c r="AJ352" s="177">
        <f t="shared" ca="1" si="216"/>
        <v>0</v>
      </c>
      <c r="AK352" s="12">
        <f t="shared" ca="1" si="217"/>
        <v>0</v>
      </c>
      <c r="AL352" s="185">
        <f t="shared" ca="1" si="226"/>
        <v>0</v>
      </c>
      <c r="AM352" s="177">
        <f t="shared" ca="1" si="227"/>
        <v>0</v>
      </c>
      <c r="AN352" s="177">
        <f t="shared" ca="1" si="228"/>
        <v>0</v>
      </c>
      <c r="AO352" s="196" t="e">
        <f t="shared" ca="1" si="229"/>
        <v>#DIV/0!</v>
      </c>
      <c r="AP352" s="196" t="e">
        <f t="shared" ca="1" si="230"/>
        <v>#NUM!</v>
      </c>
      <c r="AQ352" s="177">
        <f t="shared" ca="1" si="231"/>
        <v>0</v>
      </c>
      <c r="AR352" s="177">
        <f t="shared" ca="1" si="232"/>
        <v>0</v>
      </c>
      <c r="AS352" s="189"/>
      <c r="AT352" s="190"/>
      <c r="AU352" s="190"/>
    </row>
    <row r="353" spans="1:47" x14ac:dyDescent="0.6">
      <c r="A353" s="152" t="str">
        <f t="shared" ca="1" si="197"/>
        <v>Desember 2052</v>
      </c>
      <c r="B353" s="191">
        <v>0</v>
      </c>
      <c r="C353" s="270">
        <f t="shared" ca="1" si="218"/>
        <v>5.4899999999999997E-2</v>
      </c>
      <c r="D353" s="192" t="str">
        <f t="shared" ca="1" si="219"/>
        <v/>
      </c>
      <c r="E353" s="193" t="str">
        <f t="shared" ca="1" si="220"/>
        <v/>
      </c>
      <c r="F353" s="194">
        <f t="shared" ca="1" si="221"/>
        <v>49</v>
      </c>
      <c r="G353" s="14">
        <v>336</v>
      </c>
      <c r="H353" s="157">
        <f t="shared" ca="1" si="222"/>
        <v>0</v>
      </c>
      <c r="I353" s="16">
        <f t="shared" ca="1" si="223"/>
        <v>0</v>
      </c>
      <c r="J353" s="16">
        <f t="shared" ca="1" si="198"/>
        <v>0</v>
      </c>
      <c r="K353" s="158">
        <f t="shared" ca="1" si="199"/>
        <v>0</v>
      </c>
      <c r="L353" s="158">
        <f t="shared" ca="1" si="200"/>
        <v>0</v>
      </c>
      <c r="M353" s="15">
        <f t="shared" ca="1" si="201"/>
        <v>0</v>
      </c>
      <c r="N353" s="16">
        <f ca="1">IF(Y353=0, 0, ROUND(SUM(Y$17:Y353)-SUM(J$17:J353),0))</f>
        <v>0</v>
      </c>
      <c r="O353" s="16" t="str">
        <f t="shared" ca="1" si="202"/>
        <v/>
      </c>
      <c r="P353" s="16" t="str">
        <f t="shared" ca="1" si="203"/>
        <v/>
      </c>
      <c r="Q353" s="160">
        <f t="shared" ca="1" si="204"/>
        <v>5000000</v>
      </c>
      <c r="R353" s="160">
        <f t="shared" ca="1" si="204"/>
        <v>0</v>
      </c>
      <c r="S353" s="160">
        <f t="shared" ca="1" si="204"/>
        <v>358488</v>
      </c>
      <c r="T353" s="160">
        <f t="shared" ca="1" si="204"/>
        <v>628000</v>
      </c>
      <c r="U353" s="161" t="str">
        <f t="shared" ca="1" si="205"/>
        <v/>
      </c>
      <c r="V353" s="162">
        <f t="shared" ca="1" si="196"/>
        <v>0.57999999999999996</v>
      </c>
      <c r="W353" s="195">
        <f t="shared" ca="1" si="224"/>
        <v>0</v>
      </c>
      <c r="X353" s="158">
        <f t="shared" ca="1" si="206"/>
        <v>0</v>
      </c>
      <c r="Y353" s="16">
        <f t="shared" ca="1" si="207"/>
        <v>0</v>
      </c>
      <c r="Z353" s="164">
        <f t="shared" ca="1" si="208"/>
        <v>0</v>
      </c>
      <c r="AA353" s="272">
        <f t="shared" ca="1" si="225"/>
        <v>0.22</v>
      </c>
      <c r="AB353" s="16">
        <f t="shared" ca="1" si="209"/>
        <v>0</v>
      </c>
      <c r="AC353" s="16">
        <f t="shared" ca="1" si="210"/>
        <v>0</v>
      </c>
      <c r="AD353" s="197"/>
      <c r="AE353" s="274">
        <f t="shared" ca="1" si="211"/>
        <v>1.6821425527395739E-3</v>
      </c>
      <c r="AF353" s="166">
        <f t="shared" ca="1" si="212"/>
        <v>0.56893320269997971</v>
      </c>
      <c r="AG353" s="16">
        <f t="shared" ca="1" si="213"/>
        <v>0</v>
      </c>
      <c r="AH353" s="16">
        <f t="shared" ca="1" si="214"/>
        <v>0</v>
      </c>
      <c r="AI353" s="168">
        <f t="shared" ca="1" si="215"/>
        <v>0</v>
      </c>
      <c r="AJ353" s="158">
        <f t="shared" ca="1" si="216"/>
        <v>0</v>
      </c>
      <c r="AK353" s="16">
        <f t="shared" ca="1" si="217"/>
        <v>0</v>
      </c>
      <c r="AL353" s="168">
        <f t="shared" ca="1" si="226"/>
        <v>0</v>
      </c>
      <c r="AM353" s="158">
        <f t="shared" ca="1" si="227"/>
        <v>0</v>
      </c>
      <c r="AN353" s="158">
        <f t="shared" ca="1" si="228"/>
        <v>0</v>
      </c>
      <c r="AO353" s="169" t="e">
        <f t="shared" ca="1" si="229"/>
        <v>#DIV/0!</v>
      </c>
      <c r="AP353" s="169" t="e">
        <f t="shared" ca="1" si="230"/>
        <v>#NUM!</v>
      </c>
      <c r="AQ353" s="158">
        <f t="shared" ca="1" si="231"/>
        <v>0</v>
      </c>
      <c r="AR353" s="158">
        <f t="shared" ca="1" si="232"/>
        <v>0</v>
      </c>
      <c r="AS353" s="170"/>
      <c r="AT353" s="159"/>
      <c r="AU353" s="159"/>
    </row>
    <row r="354" spans="1:47" x14ac:dyDescent="0.6">
      <c r="A354" s="171" t="str">
        <f t="shared" ca="1" si="197"/>
        <v>Januar 2053</v>
      </c>
      <c r="B354" s="191">
        <v>0</v>
      </c>
      <c r="C354" s="269">
        <f t="shared" ca="1" si="218"/>
        <v>5.4899999999999997E-2</v>
      </c>
      <c r="D354" s="173" t="str">
        <f t="shared" ca="1" si="219"/>
        <v/>
      </c>
      <c r="E354" s="174" t="str">
        <f t="shared" ca="1" si="220"/>
        <v/>
      </c>
      <c r="F354" s="175">
        <f t="shared" ca="1" si="221"/>
        <v>49</v>
      </c>
      <c r="G354" s="10">
        <v>337</v>
      </c>
      <c r="H354" s="176">
        <f t="shared" ca="1" si="222"/>
        <v>0</v>
      </c>
      <c r="I354" s="12">
        <f t="shared" ca="1" si="223"/>
        <v>0</v>
      </c>
      <c r="J354" s="12">
        <f t="shared" ca="1" si="198"/>
        <v>0</v>
      </c>
      <c r="K354" s="177">
        <f t="shared" ca="1" si="199"/>
        <v>0</v>
      </c>
      <c r="L354" s="177">
        <f t="shared" ca="1" si="200"/>
        <v>0</v>
      </c>
      <c r="M354" s="11">
        <f t="shared" ca="1" si="201"/>
        <v>0</v>
      </c>
      <c r="N354" s="12">
        <f ca="1">IF(Y354=0, 0, ROUND(SUM(Y$17:Y354)-SUM(J$17:J354),0))</f>
        <v>0</v>
      </c>
      <c r="O354" s="12" t="str">
        <f t="shared" ca="1" si="202"/>
        <v/>
      </c>
      <c r="P354" s="12" t="str">
        <f t="shared" ca="1" si="203"/>
        <v/>
      </c>
      <c r="Q354" s="178">
        <f t="shared" ca="1" si="204"/>
        <v>5000000</v>
      </c>
      <c r="R354" s="178">
        <f t="shared" ca="1" si="204"/>
        <v>0</v>
      </c>
      <c r="S354" s="178">
        <f t="shared" ca="1" si="204"/>
        <v>358488</v>
      </c>
      <c r="T354" s="178">
        <f t="shared" ca="1" si="204"/>
        <v>628000</v>
      </c>
      <c r="U354" s="179" t="str">
        <f t="shared" ca="1" si="205"/>
        <v/>
      </c>
      <c r="V354" s="180">
        <f t="shared" ca="1" si="196"/>
        <v>0.57999999999999996</v>
      </c>
      <c r="W354" s="181">
        <f t="shared" ca="1" si="224"/>
        <v>0</v>
      </c>
      <c r="X354" s="177">
        <f t="shared" ca="1" si="206"/>
        <v>0</v>
      </c>
      <c r="Y354" s="12">
        <f t="shared" ca="1" si="207"/>
        <v>0</v>
      </c>
      <c r="Z354" s="182">
        <f t="shared" ca="1" si="208"/>
        <v>0</v>
      </c>
      <c r="AA354" s="271">
        <f t="shared" ca="1" si="225"/>
        <v>0.22</v>
      </c>
      <c r="AB354" s="12">
        <f t="shared" ca="1" si="209"/>
        <v>0</v>
      </c>
      <c r="AC354" s="12">
        <f t="shared" ca="1" si="210"/>
        <v>0</v>
      </c>
      <c r="AD354" s="199"/>
      <c r="AE354" s="273">
        <f t="shared" ca="1" si="211"/>
        <v>1.6821425527395739E-3</v>
      </c>
      <c r="AF354" s="184">
        <f t="shared" ca="1" si="212"/>
        <v>0.56797617595005168</v>
      </c>
      <c r="AG354" s="12">
        <f t="shared" ca="1" si="213"/>
        <v>0</v>
      </c>
      <c r="AH354" s="12">
        <f t="shared" ca="1" si="214"/>
        <v>0</v>
      </c>
      <c r="AI354" s="185">
        <f t="shared" ca="1" si="215"/>
        <v>0</v>
      </c>
      <c r="AJ354" s="177">
        <f t="shared" ca="1" si="216"/>
        <v>0</v>
      </c>
      <c r="AK354" s="12">
        <f t="shared" ca="1" si="217"/>
        <v>0</v>
      </c>
      <c r="AL354" s="185">
        <f t="shared" ca="1" si="226"/>
        <v>0</v>
      </c>
      <c r="AM354" s="177">
        <f t="shared" ca="1" si="227"/>
        <v>0</v>
      </c>
      <c r="AN354" s="177">
        <f t="shared" ca="1" si="228"/>
        <v>0</v>
      </c>
      <c r="AO354" s="196" t="e">
        <f t="shared" ca="1" si="229"/>
        <v>#DIV/0!</v>
      </c>
      <c r="AP354" s="196" t="e">
        <f t="shared" ca="1" si="230"/>
        <v>#NUM!</v>
      </c>
      <c r="AQ354" s="177">
        <f t="shared" ca="1" si="231"/>
        <v>0</v>
      </c>
      <c r="AR354" s="177">
        <f t="shared" ca="1" si="232"/>
        <v>0</v>
      </c>
      <c r="AS354" s="189"/>
      <c r="AT354" s="190"/>
      <c r="AU354" s="190"/>
    </row>
    <row r="355" spans="1:47" x14ac:dyDescent="0.6">
      <c r="A355" s="152" t="str">
        <f t="shared" ca="1" si="197"/>
        <v>Februar 2053</v>
      </c>
      <c r="B355" s="191">
        <v>0</v>
      </c>
      <c r="C355" s="270">
        <f t="shared" ca="1" si="218"/>
        <v>5.4899999999999997E-2</v>
      </c>
      <c r="D355" s="192" t="str">
        <f t="shared" ca="1" si="219"/>
        <v/>
      </c>
      <c r="E355" s="193" t="str">
        <f t="shared" ca="1" si="220"/>
        <v/>
      </c>
      <c r="F355" s="194">
        <f t="shared" ca="1" si="221"/>
        <v>49</v>
      </c>
      <c r="G355" s="14">
        <v>338</v>
      </c>
      <c r="H355" s="157">
        <f t="shared" ca="1" si="222"/>
        <v>0</v>
      </c>
      <c r="I355" s="16">
        <f t="shared" ca="1" si="223"/>
        <v>0</v>
      </c>
      <c r="J355" s="16">
        <f t="shared" ca="1" si="198"/>
        <v>0</v>
      </c>
      <c r="K355" s="158">
        <f t="shared" ca="1" si="199"/>
        <v>0</v>
      </c>
      <c r="L355" s="158">
        <f t="shared" ca="1" si="200"/>
        <v>0</v>
      </c>
      <c r="M355" s="15">
        <f t="shared" ca="1" si="201"/>
        <v>0</v>
      </c>
      <c r="N355" s="16">
        <f ca="1">IF(Y355=0, 0, ROUND(SUM(Y$17:Y355)-SUM(J$17:J355),0))</f>
        <v>0</v>
      </c>
      <c r="O355" s="16" t="str">
        <f t="shared" ca="1" si="202"/>
        <v/>
      </c>
      <c r="P355" s="16" t="str">
        <f t="shared" ca="1" si="203"/>
        <v/>
      </c>
      <c r="Q355" s="160">
        <f t="shared" ca="1" si="204"/>
        <v>5000000</v>
      </c>
      <c r="R355" s="160">
        <f t="shared" ca="1" si="204"/>
        <v>0</v>
      </c>
      <c r="S355" s="160">
        <f t="shared" ca="1" si="204"/>
        <v>358488</v>
      </c>
      <c r="T355" s="160">
        <f t="shared" ca="1" si="204"/>
        <v>628000</v>
      </c>
      <c r="U355" s="161" t="str">
        <f t="shared" ca="1" si="205"/>
        <v/>
      </c>
      <c r="V355" s="162">
        <f t="shared" ca="1" si="196"/>
        <v>0.57999999999999996</v>
      </c>
      <c r="W355" s="195">
        <f t="shared" ca="1" si="224"/>
        <v>0</v>
      </c>
      <c r="X355" s="158">
        <f t="shared" ca="1" si="206"/>
        <v>0</v>
      </c>
      <c r="Y355" s="16">
        <f t="shared" ca="1" si="207"/>
        <v>0</v>
      </c>
      <c r="Z355" s="164">
        <f t="shared" ca="1" si="208"/>
        <v>0</v>
      </c>
      <c r="AA355" s="272">
        <f t="shared" ca="1" si="225"/>
        <v>0.22</v>
      </c>
      <c r="AB355" s="16">
        <f t="shared" ca="1" si="209"/>
        <v>0</v>
      </c>
      <c r="AC355" s="16">
        <f t="shared" ca="1" si="210"/>
        <v>0</v>
      </c>
      <c r="AD355" s="197"/>
      <c r="AE355" s="274">
        <f t="shared" ca="1" si="211"/>
        <v>1.6821425527395739E-3</v>
      </c>
      <c r="AF355" s="166">
        <f t="shared" ca="1" si="212"/>
        <v>0.56702075905554383</v>
      </c>
      <c r="AG355" s="16">
        <f t="shared" ca="1" si="213"/>
        <v>0</v>
      </c>
      <c r="AH355" s="16">
        <f t="shared" ca="1" si="214"/>
        <v>0</v>
      </c>
      <c r="AI355" s="168">
        <f t="shared" ca="1" si="215"/>
        <v>0</v>
      </c>
      <c r="AJ355" s="158">
        <f t="shared" ca="1" si="216"/>
        <v>0</v>
      </c>
      <c r="AK355" s="16">
        <f t="shared" ca="1" si="217"/>
        <v>0</v>
      </c>
      <c r="AL355" s="168">
        <f t="shared" ca="1" si="226"/>
        <v>0</v>
      </c>
      <c r="AM355" s="158">
        <f t="shared" ca="1" si="227"/>
        <v>0</v>
      </c>
      <c r="AN355" s="158">
        <f t="shared" ca="1" si="228"/>
        <v>0</v>
      </c>
      <c r="AO355" s="169" t="e">
        <f t="shared" ca="1" si="229"/>
        <v>#DIV/0!</v>
      </c>
      <c r="AP355" s="169" t="e">
        <f t="shared" ca="1" si="230"/>
        <v>#NUM!</v>
      </c>
      <c r="AQ355" s="158">
        <f t="shared" ca="1" si="231"/>
        <v>0</v>
      </c>
      <c r="AR355" s="158">
        <f t="shared" ca="1" si="232"/>
        <v>0</v>
      </c>
      <c r="AS355" s="170"/>
      <c r="AT355" s="159"/>
      <c r="AU355" s="159"/>
    </row>
    <row r="356" spans="1:47" x14ac:dyDescent="0.6">
      <c r="A356" s="171" t="str">
        <f t="shared" ca="1" si="197"/>
        <v>Mars 2053</v>
      </c>
      <c r="B356" s="191">
        <v>0</v>
      </c>
      <c r="C356" s="269">
        <f t="shared" ca="1" si="218"/>
        <v>5.4899999999999997E-2</v>
      </c>
      <c r="D356" s="173" t="str">
        <f t="shared" ca="1" si="219"/>
        <v/>
      </c>
      <c r="E356" s="174" t="str">
        <f t="shared" ca="1" si="220"/>
        <v/>
      </c>
      <c r="F356" s="175">
        <f t="shared" ca="1" si="221"/>
        <v>49</v>
      </c>
      <c r="G356" s="10">
        <v>339</v>
      </c>
      <c r="H356" s="176">
        <f t="shared" ca="1" si="222"/>
        <v>0</v>
      </c>
      <c r="I356" s="12">
        <f t="shared" ca="1" si="223"/>
        <v>0</v>
      </c>
      <c r="J356" s="12">
        <f t="shared" ca="1" si="198"/>
        <v>0</v>
      </c>
      <c r="K356" s="177">
        <f t="shared" ca="1" si="199"/>
        <v>0</v>
      </c>
      <c r="L356" s="177">
        <f t="shared" ca="1" si="200"/>
        <v>0</v>
      </c>
      <c r="M356" s="11">
        <f t="shared" ca="1" si="201"/>
        <v>0</v>
      </c>
      <c r="N356" s="12">
        <f ca="1">IF(Y356=0, 0, ROUND(SUM(Y$17:Y356)-SUM(J$17:J356),0))</f>
        <v>0</v>
      </c>
      <c r="O356" s="12" t="str">
        <f t="shared" ca="1" si="202"/>
        <v/>
      </c>
      <c r="P356" s="12" t="str">
        <f t="shared" ca="1" si="203"/>
        <v/>
      </c>
      <c r="Q356" s="178">
        <f t="shared" ca="1" si="204"/>
        <v>5000000</v>
      </c>
      <c r="R356" s="178">
        <f t="shared" ca="1" si="204"/>
        <v>0</v>
      </c>
      <c r="S356" s="178">
        <f t="shared" ca="1" si="204"/>
        <v>358488</v>
      </c>
      <c r="T356" s="178">
        <f t="shared" ca="1" si="204"/>
        <v>628000</v>
      </c>
      <c r="U356" s="179" t="str">
        <f t="shared" ca="1" si="205"/>
        <v/>
      </c>
      <c r="V356" s="180">
        <f t="shared" ca="1" si="196"/>
        <v>0.57999999999999996</v>
      </c>
      <c r="W356" s="181">
        <f t="shared" ca="1" si="224"/>
        <v>0</v>
      </c>
      <c r="X356" s="177">
        <f t="shared" ca="1" si="206"/>
        <v>0</v>
      </c>
      <c r="Y356" s="12">
        <f t="shared" ca="1" si="207"/>
        <v>0</v>
      </c>
      <c r="Z356" s="182">
        <f t="shared" ca="1" si="208"/>
        <v>0</v>
      </c>
      <c r="AA356" s="271">
        <f t="shared" ca="1" si="225"/>
        <v>0.22</v>
      </c>
      <c r="AB356" s="12">
        <f t="shared" ca="1" si="209"/>
        <v>0</v>
      </c>
      <c r="AC356" s="12">
        <f t="shared" ca="1" si="210"/>
        <v>0</v>
      </c>
      <c r="AD356" s="199"/>
      <c r="AE356" s="273">
        <f t="shared" ca="1" si="211"/>
        <v>1.6821425527395739E-3</v>
      </c>
      <c r="AF356" s="184">
        <f t="shared" ca="1" si="212"/>
        <v>0.56606694930844981</v>
      </c>
      <c r="AG356" s="12">
        <f t="shared" ca="1" si="213"/>
        <v>0</v>
      </c>
      <c r="AH356" s="12">
        <f t="shared" ca="1" si="214"/>
        <v>0</v>
      </c>
      <c r="AI356" s="185">
        <f t="shared" ca="1" si="215"/>
        <v>0</v>
      </c>
      <c r="AJ356" s="177">
        <f t="shared" ca="1" si="216"/>
        <v>0</v>
      </c>
      <c r="AK356" s="12">
        <f t="shared" ca="1" si="217"/>
        <v>0</v>
      </c>
      <c r="AL356" s="185">
        <f t="shared" ca="1" si="226"/>
        <v>0</v>
      </c>
      <c r="AM356" s="177">
        <f t="shared" ca="1" si="227"/>
        <v>0</v>
      </c>
      <c r="AN356" s="177">
        <f t="shared" ca="1" si="228"/>
        <v>0</v>
      </c>
      <c r="AO356" s="196" t="e">
        <f t="shared" ca="1" si="229"/>
        <v>#DIV/0!</v>
      </c>
      <c r="AP356" s="196" t="e">
        <f t="shared" ca="1" si="230"/>
        <v>#NUM!</v>
      </c>
      <c r="AQ356" s="177">
        <f t="shared" ca="1" si="231"/>
        <v>0</v>
      </c>
      <c r="AR356" s="177">
        <f t="shared" ca="1" si="232"/>
        <v>0</v>
      </c>
      <c r="AS356" s="189"/>
      <c r="AT356" s="190"/>
      <c r="AU356" s="190"/>
    </row>
    <row r="357" spans="1:47" x14ac:dyDescent="0.6">
      <c r="A357" s="152" t="str">
        <f t="shared" ca="1" si="197"/>
        <v>April 2053</v>
      </c>
      <c r="B357" s="191">
        <v>0</v>
      </c>
      <c r="C357" s="270">
        <f t="shared" ca="1" si="218"/>
        <v>5.4899999999999997E-2</v>
      </c>
      <c r="D357" s="192" t="str">
        <f t="shared" ca="1" si="219"/>
        <v/>
      </c>
      <c r="E357" s="193" t="str">
        <f t="shared" ca="1" si="220"/>
        <v/>
      </c>
      <c r="F357" s="194">
        <f t="shared" ca="1" si="221"/>
        <v>49</v>
      </c>
      <c r="G357" s="14">
        <v>340</v>
      </c>
      <c r="H357" s="157">
        <f t="shared" ca="1" si="222"/>
        <v>0</v>
      </c>
      <c r="I357" s="16">
        <f t="shared" ca="1" si="223"/>
        <v>0</v>
      </c>
      <c r="J357" s="16">
        <f t="shared" ca="1" si="198"/>
        <v>0</v>
      </c>
      <c r="K357" s="158">
        <f t="shared" ca="1" si="199"/>
        <v>0</v>
      </c>
      <c r="L357" s="158">
        <f t="shared" ca="1" si="200"/>
        <v>0</v>
      </c>
      <c r="M357" s="15">
        <f t="shared" ca="1" si="201"/>
        <v>0</v>
      </c>
      <c r="N357" s="16">
        <f ca="1">IF(Y357=0, 0, ROUND(SUM(Y$17:Y357)-SUM(J$17:J357),0))</f>
        <v>0</v>
      </c>
      <c r="O357" s="16" t="str">
        <f t="shared" ca="1" si="202"/>
        <v/>
      </c>
      <c r="P357" s="16" t="str">
        <f t="shared" ca="1" si="203"/>
        <v/>
      </c>
      <c r="Q357" s="160">
        <f t="shared" ca="1" si="204"/>
        <v>5000000</v>
      </c>
      <c r="R357" s="160">
        <f t="shared" ca="1" si="204"/>
        <v>0</v>
      </c>
      <c r="S357" s="160">
        <f t="shared" ca="1" si="204"/>
        <v>358488</v>
      </c>
      <c r="T357" s="160">
        <f t="shared" ca="1" si="204"/>
        <v>628000</v>
      </c>
      <c r="U357" s="161" t="str">
        <f t="shared" ca="1" si="205"/>
        <v/>
      </c>
      <c r="V357" s="162">
        <f t="shared" ca="1" si="196"/>
        <v>0.57999999999999996</v>
      </c>
      <c r="W357" s="195">
        <f t="shared" ca="1" si="224"/>
        <v>0</v>
      </c>
      <c r="X357" s="158">
        <f t="shared" ca="1" si="206"/>
        <v>0</v>
      </c>
      <c r="Y357" s="16">
        <f t="shared" ca="1" si="207"/>
        <v>0</v>
      </c>
      <c r="Z357" s="164">
        <f t="shared" ca="1" si="208"/>
        <v>0</v>
      </c>
      <c r="AA357" s="272">
        <f t="shared" ca="1" si="225"/>
        <v>0.22</v>
      </c>
      <c r="AB357" s="16">
        <f t="shared" ca="1" si="209"/>
        <v>0</v>
      </c>
      <c r="AC357" s="16">
        <f t="shared" ca="1" si="210"/>
        <v>0</v>
      </c>
      <c r="AD357" s="197"/>
      <c r="AE357" s="274">
        <f t="shared" ca="1" si="211"/>
        <v>1.6821425527395739E-3</v>
      </c>
      <c r="AF357" s="166">
        <f t="shared" ca="1" si="212"/>
        <v>0.56511474400531858</v>
      </c>
      <c r="AG357" s="16">
        <f t="shared" ca="1" si="213"/>
        <v>0</v>
      </c>
      <c r="AH357" s="16">
        <f t="shared" ca="1" si="214"/>
        <v>0</v>
      </c>
      <c r="AI357" s="168">
        <f t="shared" ca="1" si="215"/>
        <v>0</v>
      </c>
      <c r="AJ357" s="158">
        <f t="shared" ca="1" si="216"/>
        <v>0</v>
      </c>
      <c r="AK357" s="16">
        <f t="shared" ca="1" si="217"/>
        <v>0</v>
      </c>
      <c r="AL357" s="168">
        <f t="shared" ca="1" si="226"/>
        <v>0</v>
      </c>
      <c r="AM357" s="158">
        <f t="shared" ca="1" si="227"/>
        <v>0</v>
      </c>
      <c r="AN357" s="158">
        <f t="shared" ca="1" si="228"/>
        <v>0</v>
      </c>
      <c r="AO357" s="169" t="e">
        <f t="shared" ca="1" si="229"/>
        <v>#DIV/0!</v>
      </c>
      <c r="AP357" s="169" t="e">
        <f t="shared" ca="1" si="230"/>
        <v>#NUM!</v>
      </c>
      <c r="AQ357" s="158">
        <f t="shared" ca="1" si="231"/>
        <v>0</v>
      </c>
      <c r="AR357" s="158">
        <f t="shared" ca="1" si="232"/>
        <v>0</v>
      </c>
      <c r="AS357" s="170"/>
      <c r="AT357" s="159"/>
      <c r="AU357" s="159"/>
    </row>
    <row r="358" spans="1:47" x14ac:dyDescent="0.6">
      <c r="A358" s="171" t="str">
        <f t="shared" ca="1" si="197"/>
        <v>Mai 2053</v>
      </c>
      <c r="B358" s="191">
        <v>0</v>
      </c>
      <c r="C358" s="269">
        <f t="shared" ca="1" si="218"/>
        <v>5.4899999999999997E-2</v>
      </c>
      <c r="D358" s="173" t="str">
        <f t="shared" ca="1" si="219"/>
        <v/>
      </c>
      <c r="E358" s="174" t="str">
        <f t="shared" ca="1" si="220"/>
        <v/>
      </c>
      <c r="F358" s="175">
        <f t="shared" ca="1" si="221"/>
        <v>49</v>
      </c>
      <c r="G358" s="10">
        <v>341</v>
      </c>
      <c r="H358" s="176">
        <f t="shared" ca="1" si="222"/>
        <v>0</v>
      </c>
      <c r="I358" s="12">
        <f t="shared" ca="1" si="223"/>
        <v>0</v>
      </c>
      <c r="J358" s="12">
        <f t="shared" ca="1" si="198"/>
        <v>0</v>
      </c>
      <c r="K358" s="177">
        <f t="shared" ca="1" si="199"/>
        <v>0</v>
      </c>
      <c r="L358" s="177">
        <f t="shared" ca="1" si="200"/>
        <v>0</v>
      </c>
      <c r="M358" s="11">
        <f t="shared" ca="1" si="201"/>
        <v>0</v>
      </c>
      <c r="N358" s="12">
        <f ca="1">IF(Y358=0, 0, ROUND(SUM(Y$17:Y358)-SUM(J$17:J358),0))</f>
        <v>0</v>
      </c>
      <c r="O358" s="12" t="str">
        <f t="shared" ca="1" si="202"/>
        <v/>
      </c>
      <c r="P358" s="12" t="str">
        <f t="shared" ca="1" si="203"/>
        <v/>
      </c>
      <c r="Q358" s="178">
        <f t="shared" ref="Q358:T377" ca="1" si="233">OFFSET(Q358,-1,0,1,1)</f>
        <v>5000000</v>
      </c>
      <c r="R358" s="178">
        <f t="shared" ca="1" si="233"/>
        <v>0</v>
      </c>
      <c r="S358" s="178">
        <f t="shared" ca="1" si="233"/>
        <v>358488</v>
      </c>
      <c r="T358" s="178">
        <f t="shared" ca="1" si="233"/>
        <v>628000</v>
      </c>
      <c r="U358" s="179" t="str">
        <f t="shared" ca="1" si="205"/>
        <v/>
      </c>
      <c r="V358" s="180">
        <f t="shared" ca="1" si="196"/>
        <v>0.57999999999999996</v>
      </c>
      <c r="W358" s="181">
        <f t="shared" ca="1" si="224"/>
        <v>0</v>
      </c>
      <c r="X358" s="177">
        <f t="shared" ca="1" si="206"/>
        <v>0</v>
      </c>
      <c r="Y358" s="12">
        <f t="shared" ca="1" si="207"/>
        <v>0</v>
      </c>
      <c r="Z358" s="182">
        <f t="shared" ca="1" si="208"/>
        <v>0</v>
      </c>
      <c r="AA358" s="271">
        <f t="shared" ca="1" si="225"/>
        <v>0.22</v>
      </c>
      <c r="AB358" s="12">
        <f t="shared" ca="1" si="209"/>
        <v>0</v>
      </c>
      <c r="AC358" s="12">
        <f t="shared" ca="1" si="210"/>
        <v>0</v>
      </c>
      <c r="AD358" s="199"/>
      <c r="AE358" s="273">
        <f t="shared" ca="1" si="211"/>
        <v>1.6821425527395739E-3</v>
      </c>
      <c r="AF358" s="184">
        <f t="shared" ca="1" si="212"/>
        <v>0.56416414044724672</v>
      </c>
      <c r="AG358" s="12">
        <f t="shared" ca="1" si="213"/>
        <v>0</v>
      </c>
      <c r="AH358" s="12">
        <f t="shared" ca="1" si="214"/>
        <v>0</v>
      </c>
      <c r="AI358" s="185">
        <f t="shared" ca="1" si="215"/>
        <v>0</v>
      </c>
      <c r="AJ358" s="177">
        <f t="shared" ca="1" si="216"/>
        <v>0</v>
      </c>
      <c r="AK358" s="12">
        <f t="shared" ca="1" si="217"/>
        <v>0</v>
      </c>
      <c r="AL358" s="185">
        <f t="shared" ca="1" si="226"/>
        <v>0</v>
      </c>
      <c r="AM358" s="177">
        <f t="shared" ca="1" si="227"/>
        <v>0</v>
      </c>
      <c r="AN358" s="177">
        <f t="shared" ca="1" si="228"/>
        <v>0</v>
      </c>
      <c r="AO358" s="196" t="e">
        <f t="shared" ca="1" si="229"/>
        <v>#DIV/0!</v>
      </c>
      <c r="AP358" s="196" t="e">
        <f t="shared" ca="1" si="230"/>
        <v>#NUM!</v>
      </c>
      <c r="AQ358" s="177">
        <f t="shared" ca="1" si="231"/>
        <v>0</v>
      </c>
      <c r="AR358" s="177">
        <f t="shared" ca="1" si="232"/>
        <v>0</v>
      </c>
      <c r="AS358" s="189"/>
      <c r="AT358" s="190"/>
      <c r="AU358" s="190"/>
    </row>
    <row r="359" spans="1:47" x14ac:dyDescent="0.6">
      <c r="A359" s="152" t="str">
        <f t="shared" ca="1" si="197"/>
        <v>Juni 2053</v>
      </c>
      <c r="B359" s="191">
        <v>0</v>
      </c>
      <c r="C359" s="270">
        <f t="shared" ca="1" si="218"/>
        <v>5.4899999999999997E-2</v>
      </c>
      <c r="D359" s="192" t="str">
        <f t="shared" ca="1" si="219"/>
        <v/>
      </c>
      <c r="E359" s="193" t="str">
        <f t="shared" ca="1" si="220"/>
        <v/>
      </c>
      <c r="F359" s="194">
        <f t="shared" ca="1" si="221"/>
        <v>49</v>
      </c>
      <c r="G359" s="14">
        <v>342</v>
      </c>
      <c r="H359" s="157">
        <f t="shared" ca="1" si="222"/>
        <v>0</v>
      </c>
      <c r="I359" s="16">
        <f t="shared" ca="1" si="223"/>
        <v>0</v>
      </c>
      <c r="J359" s="16">
        <f t="shared" ca="1" si="198"/>
        <v>0</v>
      </c>
      <c r="K359" s="158">
        <f t="shared" ca="1" si="199"/>
        <v>0</v>
      </c>
      <c r="L359" s="158">
        <f t="shared" ca="1" si="200"/>
        <v>0</v>
      </c>
      <c r="M359" s="15">
        <f t="shared" ca="1" si="201"/>
        <v>0</v>
      </c>
      <c r="N359" s="16">
        <f ca="1">IF(Y359=0, 0, ROUND(SUM(Y$17:Y359)-SUM(J$17:J359),0))</f>
        <v>0</v>
      </c>
      <c r="O359" s="16" t="str">
        <f t="shared" ca="1" si="202"/>
        <v/>
      </c>
      <c r="P359" s="16" t="str">
        <f t="shared" ca="1" si="203"/>
        <v/>
      </c>
      <c r="Q359" s="160">
        <f t="shared" ca="1" si="233"/>
        <v>5000000</v>
      </c>
      <c r="R359" s="160">
        <f t="shared" ca="1" si="233"/>
        <v>0</v>
      </c>
      <c r="S359" s="160">
        <f t="shared" ca="1" si="233"/>
        <v>358488</v>
      </c>
      <c r="T359" s="160">
        <f t="shared" ca="1" si="233"/>
        <v>628000</v>
      </c>
      <c r="U359" s="161" t="str">
        <f t="shared" ca="1" si="205"/>
        <v/>
      </c>
      <c r="V359" s="162">
        <f t="shared" ca="1" si="196"/>
        <v>0.57999999999999996</v>
      </c>
      <c r="W359" s="195">
        <f t="shared" ca="1" si="224"/>
        <v>0</v>
      </c>
      <c r="X359" s="158">
        <f t="shared" ca="1" si="206"/>
        <v>0</v>
      </c>
      <c r="Y359" s="16">
        <f t="shared" ca="1" si="207"/>
        <v>0</v>
      </c>
      <c r="Z359" s="164">
        <f t="shared" ca="1" si="208"/>
        <v>0</v>
      </c>
      <c r="AA359" s="272">
        <f t="shared" ca="1" si="225"/>
        <v>0.22</v>
      </c>
      <c r="AB359" s="16">
        <f t="shared" ca="1" si="209"/>
        <v>0</v>
      </c>
      <c r="AC359" s="16">
        <f t="shared" ca="1" si="210"/>
        <v>0</v>
      </c>
      <c r="AD359" s="197"/>
      <c r="AE359" s="274">
        <f t="shared" ca="1" si="211"/>
        <v>1.6821425527395739E-3</v>
      </c>
      <c r="AF359" s="166">
        <f t="shared" ca="1" si="212"/>
        <v>0.56321513593987071</v>
      </c>
      <c r="AG359" s="16">
        <f t="shared" ca="1" si="213"/>
        <v>0</v>
      </c>
      <c r="AH359" s="16">
        <f t="shared" ca="1" si="214"/>
        <v>0</v>
      </c>
      <c r="AI359" s="168">
        <f t="shared" ca="1" si="215"/>
        <v>0</v>
      </c>
      <c r="AJ359" s="158">
        <f t="shared" ca="1" si="216"/>
        <v>0</v>
      </c>
      <c r="AK359" s="16">
        <f t="shared" ca="1" si="217"/>
        <v>0</v>
      </c>
      <c r="AL359" s="168">
        <f t="shared" ca="1" si="226"/>
        <v>0</v>
      </c>
      <c r="AM359" s="158">
        <f t="shared" ca="1" si="227"/>
        <v>0</v>
      </c>
      <c r="AN359" s="158">
        <f t="shared" ca="1" si="228"/>
        <v>0</v>
      </c>
      <c r="AO359" s="169" t="e">
        <f t="shared" ca="1" si="229"/>
        <v>#DIV/0!</v>
      </c>
      <c r="AP359" s="169" t="e">
        <f t="shared" ca="1" si="230"/>
        <v>#NUM!</v>
      </c>
      <c r="AQ359" s="158">
        <f t="shared" ca="1" si="231"/>
        <v>0</v>
      </c>
      <c r="AR359" s="158">
        <f t="shared" ca="1" si="232"/>
        <v>0</v>
      </c>
      <c r="AS359" s="170"/>
      <c r="AT359" s="159"/>
      <c r="AU359" s="159"/>
    </row>
    <row r="360" spans="1:47" x14ac:dyDescent="0.6">
      <c r="A360" s="171" t="str">
        <f t="shared" ca="1" si="197"/>
        <v>Juli 2053</v>
      </c>
      <c r="B360" s="191">
        <v>0</v>
      </c>
      <c r="C360" s="269">
        <f t="shared" ca="1" si="218"/>
        <v>5.4899999999999997E-2</v>
      </c>
      <c r="D360" s="173" t="str">
        <f t="shared" ca="1" si="219"/>
        <v/>
      </c>
      <c r="E360" s="174" t="str">
        <f t="shared" ca="1" si="220"/>
        <v/>
      </c>
      <c r="F360" s="175">
        <f t="shared" ca="1" si="221"/>
        <v>49</v>
      </c>
      <c r="G360" s="10">
        <v>343</v>
      </c>
      <c r="H360" s="176">
        <f t="shared" ca="1" si="222"/>
        <v>0</v>
      </c>
      <c r="I360" s="12">
        <f t="shared" ca="1" si="223"/>
        <v>0</v>
      </c>
      <c r="J360" s="12">
        <f t="shared" ca="1" si="198"/>
        <v>0</v>
      </c>
      <c r="K360" s="177">
        <f t="shared" ca="1" si="199"/>
        <v>0</v>
      </c>
      <c r="L360" s="177">
        <f t="shared" ca="1" si="200"/>
        <v>0</v>
      </c>
      <c r="M360" s="11">
        <f t="shared" ca="1" si="201"/>
        <v>0</v>
      </c>
      <c r="N360" s="12">
        <f ca="1">IF(Y360=0, 0, ROUND(SUM(Y$17:Y360)-SUM(J$17:J360),0))</f>
        <v>0</v>
      </c>
      <c r="O360" s="12" t="str">
        <f t="shared" ca="1" si="202"/>
        <v/>
      </c>
      <c r="P360" s="12" t="str">
        <f t="shared" ca="1" si="203"/>
        <v/>
      </c>
      <c r="Q360" s="178">
        <f t="shared" ca="1" si="233"/>
        <v>5000000</v>
      </c>
      <c r="R360" s="178">
        <f t="shared" ca="1" si="233"/>
        <v>0</v>
      </c>
      <c r="S360" s="178">
        <f t="shared" ca="1" si="233"/>
        <v>358488</v>
      </c>
      <c r="T360" s="178">
        <f t="shared" ca="1" si="233"/>
        <v>628000</v>
      </c>
      <c r="U360" s="179" t="str">
        <f t="shared" ca="1" si="205"/>
        <v/>
      </c>
      <c r="V360" s="180">
        <f t="shared" ca="1" si="196"/>
        <v>0.57999999999999996</v>
      </c>
      <c r="W360" s="181">
        <f t="shared" ca="1" si="224"/>
        <v>0</v>
      </c>
      <c r="X360" s="177">
        <f t="shared" ca="1" si="206"/>
        <v>0</v>
      </c>
      <c r="Y360" s="12">
        <f t="shared" ca="1" si="207"/>
        <v>0</v>
      </c>
      <c r="Z360" s="182">
        <f t="shared" ca="1" si="208"/>
        <v>0</v>
      </c>
      <c r="AA360" s="271">
        <f t="shared" ca="1" si="225"/>
        <v>0.22</v>
      </c>
      <c r="AB360" s="12">
        <f t="shared" ca="1" si="209"/>
        <v>0</v>
      </c>
      <c r="AC360" s="12">
        <f t="shared" ca="1" si="210"/>
        <v>0</v>
      </c>
      <c r="AD360" s="199"/>
      <c r="AE360" s="273">
        <f t="shared" ca="1" si="211"/>
        <v>1.6821425527395739E-3</v>
      </c>
      <c r="AF360" s="184">
        <f t="shared" ca="1" si="212"/>
        <v>0.56226772779335921</v>
      </c>
      <c r="AG360" s="12">
        <f t="shared" ca="1" si="213"/>
        <v>0</v>
      </c>
      <c r="AH360" s="12">
        <f t="shared" ca="1" si="214"/>
        <v>0</v>
      </c>
      <c r="AI360" s="185">
        <f t="shared" ca="1" si="215"/>
        <v>0</v>
      </c>
      <c r="AJ360" s="177">
        <f t="shared" ca="1" si="216"/>
        <v>0</v>
      </c>
      <c r="AK360" s="12">
        <f t="shared" ca="1" si="217"/>
        <v>0</v>
      </c>
      <c r="AL360" s="185">
        <f t="shared" ca="1" si="226"/>
        <v>0</v>
      </c>
      <c r="AM360" s="177">
        <f t="shared" ca="1" si="227"/>
        <v>0</v>
      </c>
      <c r="AN360" s="177">
        <f t="shared" ca="1" si="228"/>
        <v>0</v>
      </c>
      <c r="AO360" s="196" t="e">
        <f t="shared" ca="1" si="229"/>
        <v>#DIV/0!</v>
      </c>
      <c r="AP360" s="196" t="e">
        <f t="shared" ca="1" si="230"/>
        <v>#NUM!</v>
      </c>
      <c r="AQ360" s="177">
        <f t="shared" ca="1" si="231"/>
        <v>0</v>
      </c>
      <c r="AR360" s="177">
        <f t="shared" ca="1" si="232"/>
        <v>0</v>
      </c>
      <c r="AS360" s="189"/>
      <c r="AT360" s="190"/>
      <c r="AU360" s="190"/>
    </row>
    <row r="361" spans="1:47" x14ac:dyDescent="0.6">
      <c r="A361" s="152" t="str">
        <f t="shared" ca="1" si="197"/>
        <v>August 2053</v>
      </c>
      <c r="B361" s="191">
        <v>0</v>
      </c>
      <c r="C361" s="270">
        <f t="shared" ca="1" si="218"/>
        <v>5.4899999999999997E-2</v>
      </c>
      <c r="D361" s="192" t="str">
        <f t="shared" ca="1" si="219"/>
        <v/>
      </c>
      <c r="E361" s="193" t="str">
        <f t="shared" ca="1" si="220"/>
        <v/>
      </c>
      <c r="F361" s="194">
        <f t="shared" ca="1" si="221"/>
        <v>49</v>
      </c>
      <c r="G361" s="14">
        <v>344</v>
      </c>
      <c r="H361" s="157">
        <f t="shared" ca="1" si="222"/>
        <v>0</v>
      </c>
      <c r="I361" s="16">
        <f t="shared" ca="1" si="223"/>
        <v>0</v>
      </c>
      <c r="J361" s="16">
        <f t="shared" ca="1" si="198"/>
        <v>0</v>
      </c>
      <c r="K361" s="158">
        <f t="shared" ca="1" si="199"/>
        <v>0</v>
      </c>
      <c r="L361" s="158">
        <f t="shared" ca="1" si="200"/>
        <v>0</v>
      </c>
      <c r="M361" s="15">
        <f t="shared" ca="1" si="201"/>
        <v>0</v>
      </c>
      <c r="N361" s="16">
        <f ca="1">IF(Y361=0, 0, ROUND(SUM(Y$17:Y361)-SUM(J$17:J361),0))</f>
        <v>0</v>
      </c>
      <c r="O361" s="16" t="str">
        <f t="shared" ca="1" si="202"/>
        <v/>
      </c>
      <c r="P361" s="16" t="str">
        <f t="shared" ca="1" si="203"/>
        <v/>
      </c>
      <c r="Q361" s="160">
        <f t="shared" ca="1" si="233"/>
        <v>5000000</v>
      </c>
      <c r="R361" s="160">
        <f t="shared" ca="1" si="233"/>
        <v>0</v>
      </c>
      <c r="S361" s="160">
        <f t="shared" ca="1" si="233"/>
        <v>358488</v>
      </c>
      <c r="T361" s="160">
        <f t="shared" ca="1" si="233"/>
        <v>628000</v>
      </c>
      <c r="U361" s="161" t="str">
        <f t="shared" ca="1" si="205"/>
        <v/>
      </c>
      <c r="V361" s="162">
        <f t="shared" ca="1" si="196"/>
        <v>0.57999999999999996</v>
      </c>
      <c r="W361" s="195">
        <f t="shared" ca="1" si="224"/>
        <v>0</v>
      </c>
      <c r="X361" s="158">
        <f t="shared" ca="1" si="206"/>
        <v>0</v>
      </c>
      <c r="Y361" s="16">
        <f t="shared" ca="1" si="207"/>
        <v>0</v>
      </c>
      <c r="Z361" s="164">
        <f t="shared" ca="1" si="208"/>
        <v>0</v>
      </c>
      <c r="AA361" s="272">
        <f t="shared" ca="1" si="225"/>
        <v>0.22</v>
      </c>
      <c r="AB361" s="16">
        <f t="shared" ca="1" si="209"/>
        <v>0</v>
      </c>
      <c r="AC361" s="16">
        <f t="shared" ca="1" si="210"/>
        <v>0</v>
      </c>
      <c r="AD361" s="197"/>
      <c r="AE361" s="274">
        <f t="shared" ca="1" si="211"/>
        <v>1.6821425527395739E-3</v>
      </c>
      <c r="AF361" s="166">
        <f t="shared" ca="1" si="212"/>
        <v>0.56132191332240577</v>
      </c>
      <c r="AG361" s="16">
        <f t="shared" ca="1" si="213"/>
        <v>0</v>
      </c>
      <c r="AH361" s="16">
        <f t="shared" ca="1" si="214"/>
        <v>0</v>
      </c>
      <c r="AI361" s="168">
        <f t="shared" ca="1" si="215"/>
        <v>0</v>
      </c>
      <c r="AJ361" s="158">
        <f t="shared" ca="1" si="216"/>
        <v>0</v>
      </c>
      <c r="AK361" s="16">
        <f t="shared" ca="1" si="217"/>
        <v>0</v>
      </c>
      <c r="AL361" s="168">
        <f t="shared" ca="1" si="226"/>
        <v>0</v>
      </c>
      <c r="AM361" s="158">
        <f t="shared" ca="1" si="227"/>
        <v>0</v>
      </c>
      <c r="AN361" s="158">
        <f t="shared" ca="1" si="228"/>
        <v>0</v>
      </c>
      <c r="AO361" s="169" t="e">
        <f t="shared" ca="1" si="229"/>
        <v>#DIV/0!</v>
      </c>
      <c r="AP361" s="169" t="e">
        <f t="shared" ca="1" si="230"/>
        <v>#NUM!</v>
      </c>
      <c r="AQ361" s="158">
        <f t="shared" ca="1" si="231"/>
        <v>0</v>
      </c>
      <c r="AR361" s="158">
        <f t="shared" ca="1" si="232"/>
        <v>0</v>
      </c>
      <c r="AS361" s="170"/>
      <c r="AT361" s="159"/>
      <c r="AU361" s="159"/>
    </row>
    <row r="362" spans="1:47" x14ac:dyDescent="0.6">
      <c r="A362" s="171" t="str">
        <f t="shared" ca="1" si="197"/>
        <v>September 2053</v>
      </c>
      <c r="B362" s="191">
        <v>0</v>
      </c>
      <c r="C362" s="269">
        <f t="shared" ca="1" si="218"/>
        <v>5.4899999999999997E-2</v>
      </c>
      <c r="D362" s="173" t="str">
        <f t="shared" ca="1" si="219"/>
        <v/>
      </c>
      <c r="E362" s="174" t="str">
        <f t="shared" ca="1" si="220"/>
        <v/>
      </c>
      <c r="F362" s="175">
        <f t="shared" ca="1" si="221"/>
        <v>49</v>
      </c>
      <c r="G362" s="10">
        <v>345</v>
      </c>
      <c r="H362" s="176">
        <f t="shared" ca="1" si="222"/>
        <v>0</v>
      </c>
      <c r="I362" s="12">
        <f t="shared" ca="1" si="223"/>
        <v>0</v>
      </c>
      <c r="J362" s="12">
        <f t="shared" ca="1" si="198"/>
        <v>0</v>
      </c>
      <c r="K362" s="177">
        <f t="shared" ca="1" si="199"/>
        <v>0</v>
      </c>
      <c r="L362" s="177">
        <f t="shared" ca="1" si="200"/>
        <v>0</v>
      </c>
      <c r="M362" s="11">
        <f t="shared" ca="1" si="201"/>
        <v>0</v>
      </c>
      <c r="N362" s="12">
        <f ca="1">IF(Y362=0, 0, ROUND(SUM(Y$17:Y362)-SUM(J$17:J362),0))</f>
        <v>0</v>
      </c>
      <c r="O362" s="12" t="str">
        <f t="shared" ca="1" si="202"/>
        <v/>
      </c>
      <c r="P362" s="12" t="str">
        <f t="shared" ca="1" si="203"/>
        <v/>
      </c>
      <c r="Q362" s="178">
        <f t="shared" ca="1" si="233"/>
        <v>5000000</v>
      </c>
      <c r="R362" s="178">
        <f t="shared" ca="1" si="233"/>
        <v>0</v>
      </c>
      <c r="S362" s="178">
        <f t="shared" ca="1" si="233"/>
        <v>358488</v>
      </c>
      <c r="T362" s="178">
        <f t="shared" ca="1" si="233"/>
        <v>628000</v>
      </c>
      <c r="U362" s="179" t="str">
        <f t="shared" ca="1" si="205"/>
        <v/>
      </c>
      <c r="V362" s="180">
        <f t="shared" ca="1" si="196"/>
        <v>0.57999999999999996</v>
      </c>
      <c r="W362" s="181">
        <f t="shared" ca="1" si="224"/>
        <v>0</v>
      </c>
      <c r="X362" s="177">
        <f t="shared" ca="1" si="206"/>
        <v>0</v>
      </c>
      <c r="Y362" s="12">
        <f t="shared" ca="1" si="207"/>
        <v>0</v>
      </c>
      <c r="Z362" s="182">
        <f t="shared" ca="1" si="208"/>
        <v>0</v>
      </c>
      <c r="AA362" s="271">
        <f t="shared" ca="1" si="225"/>
        <v>0.22</v>
      </c>
      <c r="AB362" s="12">
        <f t="shared" ca="1" si="209"/>
        <v>0</v>
      </c>
      <c r="AC362" s="12">
        <f t="shared" ca="1" si="210"/>
        <v>0</v>
      </c>
      <c r="AD362" s="199"/>
      <c r="AE362" s="273">
        <f t="shared" ca="1" si="211"/>
        <v>1.6821425527395739E-3</v>
      </c>
      <c r="AF362" s="184">
        <f t="shared" ca="1" si="212"/>
        <v>0.56037768984622094</v>
      </c>
      <c r="AG362" s="12">
        <f t="shared" ca="1" si="213"/>
        <v>0</v>
      </c>
      <c r="AH362" s="12">
        <f t="shared" ca="1" si="214"/>
        <v>0</v>
      </c>
      <c r="AI362" s="185">
        <f t="shared" ca="1" si="215"/>
        <v>0</v>
      </c>
      <c r="AJ362" s="177">
        <f t="shared" ca="1" si="216"/>
        <v>0</v>
      </c>
      <c r="AK362" s="12">
        <f t="shared" ca="1" si="217"/>
        <v>0</v>
      </c>
      <c r="AL362" s="185">
        <f t="shared" ca="1" si="226"/>
        <v>0</v>
      </c>
      <c r="AM362" s="177">
        <f t="shared" ca="1" si="227"/>
        <v>0</v>
      </c>
      <c r="AN362" s="177">
        <f t="shared" ca="1" si="228"/>
        <v>0</v>
      </c>
      <c r="AO362" s="196" t="e">
        <f t="shared" ca="1" si="229"/>
        <v>#DIV/0!</v>
      </c>
      <c r="AP362" s="196" t="e">
        <f t="shared" ca="1" si="230"/>
        <v>#NUM!</v>
      </c>
      <c r="AQ362" s="177">
        <f t="shared" ca="1" si="231"/>
        <v>0</v>
      </c>
      <c r="AR362" s="177">
        <f t="shared" ca="1" si="232"/>
        <v>0</v>
      </c>
      <c r="AS362" s="189"/>
      <c r="AT362" s="190"/>
      <c r="AU362" s="190"/>
    </row>
    <row r="363" spans="1:47" x14ac:dyDescent="0.6">
      <c r="A363" s="152" t="str">
        <f t="shared" ca="1" si="197"/>
        <v>Oktober 2053</v>
      </c>
      <c r="B363" s="191">
        <v>0</v>
      </c>
      <c r="C363" s="270">
        <f t="shared" ca="1" si="218"/>
        <v>5.4899999999999997E-2</v>
      </c>
      <c r="D363" s="192" t="str">
        <f t="shared" ca="1" si="219"/>
        <v/>
      </c>
      <c r="E363" s="193" t="str">
        <f t="shared" ca="1" si="220"/>
        <v/>
      </c>
      <c r="F363" s="194">
        <f t="shared" ca="1" si="221"/>
        <v>49</v>
      </c>
      <c r="G363" s="14">
        <v>346</v>
      </c>
      <c r="H363" s="157">
        <f t="shared" ca="1" si="222"/>
        <v>0</v>
      </c>
      <c r="I363" s="16">
        <f t="shared" ca="1" si="223"/>
        <v>0</v>
      </c>
      <c r="J363" s="16">
        <f t="shared" ca="1" si="198"/>
        <v>0</v>
      </c>
      <c r="K363" s="158">
        <f t="shared" ca="1" si="199"/>
        <v>0</v>
      </c>
      <c r="L363" s="158">
        <f t="shared" ca="1" si="200"/>
        <v>0</v>
      </c>
      <c r="M363" s="15">
        <f t="shared" ca="1" si="201"/>
        <v>0</v>
      </c>
      <c r="N363" s="16">
        <f ca="1">IF(Y363=0, 0, ROUND(SUM(Y$17:Y363)-SUM(J$17:J363),0))</f>
        <v>0</v>
      </c>
      <c r="O363" s="16" t="str">
        <f t="shared" ca="1" si="202"/>
        <v/>
      </c>
      <c r="P363" s="16" t="str">
        <f t="shared" ca="1" si="203"/>
        <v/>
      </c>
      <c r="Q363" s="160">
        <f t="shared" ca="1" si="233"/>
        <v>5000000</v>
      </c>
      <c r="R363" s="160">
        <f t="shared" ca="1" si="233"/>
        <v>0</v>
      </c>
      <c r="S363" s="160">
        <f t="shared" ca="1" si="233"/>
        <v>358488</v>
      </c>
      <c r="T363" s="160">
        <f t="shared" ca="1" si="233"/>
        <v>628000</v>
      </c>
      <c r="U363" s="161" t="str">
        <f t="shared" ca="1" si="205"/>
        <v/>
      </c>
      <c r="V363" s="162">
        <f t="shared" ca="1" si="196"/>
        <v>0.57999999999999996</v>
      </c>
      <c r="W363" s="195">
        <f t="shared" ca="1" si="224"/>
        <v>0</v>
      </c>
      <c r="X363" s="158">
        <f t="shared" ca="1" si="206"/>
        <v>0</v>
      </c>
      <c r="Y363" s="16">
        <f t="shared" ca="1" si="207"/>
        <v>0</v>
      </c>
      <c r="Z363" s="164">
        <f t="shared" ca="1" si="208"/>
        <v>0</v>
      </c>
      <c r="AA363" s="272">
        <f t="shared" ca="1" si="225"/>
        <v>0.22</v>
      </c>
      <c r="AB363" s="16">
        <f t="shared" ca="1" si="209"/>
        <v>0</v>
      </c>
      <c r="AC363" s="16">
        <f t="shared" ca="1" si="210"/>
        <v>0</v>
      </c>
      <c r="AD363" s="197"/>
      <c r="AE363" s="274">
        <f t="shared" ca="1" si="211"/>
        <v>1.6821425527395739E-3</v>
      </c>
      <c r="AF363" s="166">
        <f t="shared" ca="1" si="212"/>
        <v>0.55943505468852472</v>
      </c>
      <c r="AG363" s="16">
        <f t="shared" ca="1" si="213"/>
        <v>0</v>
      </c>
      <c r="AH363" s="16">
        <f t="shared" ca="1" si="214"/>
        <v>0</v>
      </c>
      <c r="AI363" s="168">
        <f t="shared" ca="1" si="215"/>
        <v>0</v>
      </c>
      <c r="AJ363" s="158">
        <f t="shared" ca="1" si="216"/>
        <v>0</v>
      </c>
      <c r="AK363" s="16">
        <f t="shared" ca="1" si="217"/>
        <v>0</v>
      </c>
      <c r="AL363" s="168">
        <f t="shared" ca="1" si="226"/>
        <v>0</v>
      </c>
      <c r="AM363" s="158">
        <f t="shared" ca="1" si="227"/>
        <v>0</v>
      </c>
      <c r="AN363" s="158">
        <f t="shared" ca="1" si="228"/>
        <v>0</v>
      </c>
      <c r="AO363" s="169" t="e">
        <f t="shared" ca="1" si="229"/>
        <v>#DIV/0!</v>
      </c>
      <c r="AP363" s="169" t="e">
        <f t="shared" ca="1" si="230"/>
        <v>#NUM!</v>
      </c>
      <c r="AQ363" s="158">
        <f t="shared" ca="1" si="231"/>
        <v>0</v>
      </c>
      <c r="AR363" s="158">
        <f t="shared" ca="1" si="232"/>
        <v>0</v>
      </c>
      <c r="AS363" s="170"/>
      <c r="AT363" s="159"/>
      <c r="AU363" s="159"/>
    </row>
    <row r="364" spans="1:47" x14ac:dyDescent="0.6">
      <c r="A364" s="171" t="str">
        <f t="shared" ca="1" si="197"/>
        <v>November 2053</v>
      </c>
      <c r="B364" s="191">
        <v>0</v>
      </c>
      <c r="C364" s="269">
        <f t="shared" ca="1" si="218"/>
        <v>5.4899999999999997E-2</v>
      </c>
      <c r="D364" s="173" t="str">
        <f t="shared" ca="1" si="219"/>
        <v/>
      </c>
      <c r="E364" s="174" t="str">
        <f t="shared" ca="1" si="220"/>
        <v/>
      </c>
      <c r="F364" s="175">
        <f t="shared" ca="1" si="221"/>
        <v>49</v>
      </c>
      <c r="G364" s="10">
        <v>347</v>
      </c>
      <c r="H364" s="176">
        <f t="shared" ca="1" si="222"/>
        <v>0</v>
      </c>
      <c r="I364" s="12">
        <f t="shared" ca="1" si="223"/>
        <v>0</v>
      </c>
      <c r="J364" s="12">
        <f t="shared" ca="1" si="198"/>
        <v>0</v>
      </c>
      <c r="K364" s="177">
        <f t="shared" ca="1" si="199"/>
        <v>0</v>
      </c>
      <c r="L364" s="177">
        <f t="shared" ca="1" si="200"/>
        <v>0</v>
      </c>
      <c r="M364" s="11">
        <f t="shared" ca="1" si="201"/>
        <v>0</v>
      </c>
      <c r="N364" s="12">
        <f ca="1">IF(Y364=0, 0, ROUND(SUM(Y$17:Y364)-SUM(J$17:J364),0))</f>
        <v>0</v>
      </c>
      <c r="O364" s="12" t="str">
        <f t="shared" ca="1" si="202"/>
        <v/>
      </c>
      <c r="P364" s="12" t="str">
        <f t="shared" ca="1" si="203"/>
        <v/>
      </c>
      <c r="Q364" s="178">
        <f t="shared" ca="1" si="233"/>
        <v>5000000</v>
      </c>
      <c r="R364" s="178">
        <f t="shared" ca="1" si="233"/>
        <v>0</v>
      </c>
      <c r="S364" s="178">
        <f t="shared" ca="1" si="233"/>
        <v>358488</v>
      </c>
      <c r="T364" s="178">
        <f t="shared" ca="1" si="233"/>
        <v>628000</v>
      </c>
      <c r="U364" s="179" t="str">
        <f t="shared" ca="1" si="205"/>
        <v/>
      </c>
      <c r="V364" s="180">
        <f t="shared" ca="1" si="196"/>
        <v>0.57999999999999996</v>
      </c>
      <c r="W364" s="181">
        <f t="shared" ca="1" si="224"/>
        <v>0</v>
      </c>
      <c r="X364" s="177">
        <f t="shared" ca="1" si="206"/>
        <v>0</v>
      </c>
      <c r="Y364" s="12">
        <f t="shared" ca="1" si="207"/>
        <v>0</v>
      </c>
      <c r="Z364" s="182">
        <f t="shared" ca="1" si="208"/>
        <v>0</v>
      </c>
      <c r="AA364" s="271">
        <f t="shared" ca="1" si="225"/>
        <v>0.22</v>
      </c>
      <c r="AB364" s="12">
        <f t="shared" ca="1" si="209"/>
        <v>0</v>
      </c>
      <c r="AC364" s="12">
        <f t="shared" ca="1" si="210"/>
        <v>0</v>
      </c>
      <c r="AD364" s="199"/>
      <c r="AE364" s="273">
        <f t="shared" ca="1" si="211"/>
        <v>1.6821425527395739E-3</v>
      </c>
      <c r="AF364" s="184">
        <f t="shared" ca="1" si="212"/>
        <v>0.558494005177539</v>
      </c>
      <c r="AG364" s="12">
        <f t="shared" ca="1" si="213"/>
        <v>0</v>
      </c>
      <c r="AH364" s="12">
        <f t="shared" ca="1" si="214"/>
        <v>0</v>
      </c>
      <c r="AI364" s="185">
        <f t="shared" ca="1" si="215"/>
        <v>0</v>
      </c>
      <c r="AJ364" s="177">
        <f t="shared" ca="1" si="216"/>
        <v>0</v>
      </c>
      <c r="AK364" s="12">
        <f t="shared" ca="1" si="217"/>
        <v>0</v>
      </c>
      <c r="AL364" s="185">
        <f t="shared" ca="1" si="226"/>
        <v>0</v>
      </c>
      <c r="AM364" s="177">
        <f t="shared" ca="1" si="227"/>
        <v>0</v>
      </c>
      <c r="AN364" s="177">
        <f t="shared" ca="1" si="228"/>
        <v>0</v>
      </c>
      <c r="AO364" s="196" t="e">
        <f t="shared" ca="1" si="229"/>
        <v>#DIV/0!</v>
      </c>
      <c r="AP364" s="196" t="e">
        <f t="shared" ca="1" si="230"/>
        <v>#NUM!</v>
      </c>
      <c r="AQ364" s="177">
        <f t="shared" ca="1" si="231"/>
        <v>0</v>
      </c>
      <c r="AR364" s="177">
        <f t="shared" ca="1" si="232"/>
        <v>0</v>
      </c>
      <c r="AS364" s="189"/>
      <c r="AT364" s="190"/>
      <c r="AU364" s="190"/>
    </row>
    <row r="365" spans="1:47" x14ac:dyDescent="0.6">
      <c r="A365" s="152" t="str">
        <f t="shared" ca="1" si="197"/>
        <v>Desember 2053</v>
      </c>
      <c r="B365" s="191">
        <v>0</v>
      </c>
      <c r="C365" s="270">
        <f t="shared" ca="1" si="218"/>
        <v>5.4899999999999997E-2</v>
      </c>
      <c r="D365" s="192" t="str">
        <f t="shared" ca="1" si="219"/>
        <v/>
      </c>
      <c r="E365" s="193" t="str">
        <f t="shared" ca="1" si="220"/>
        <v/>
      </c>
      <c r="F365" s="194">
        <f t="shared" ca="1" si="221"/>
        <v>49</v>
      </c>
      <c r="G365" s="14">
        <v>348</v>
      </c>
      <c r="H365" s="157">
        <f t="shared" ca="1" si="222"/>
        <v>0</v>
      </c>
      <c r="I365" s="16">
        <f t="shared" ca="1" si="223"/>
        <v>0</v>
      </c>
      <c r="J365" s="16">
        <f t="shared" ca="1" si="198"/>
        <v>0</v>
      </c>
      <c r="K365" s="158">
        <f t="shared" ca="1" si="199"/>
        <v>0</v>
      </c>
      <c r="L365" s="158">
        <f t="shared" ca="1" si="200"/>
        <v>0</v>
      </c>
      <c r="M365" s="15">
        <f t="shared" ca="1" si="201"/>
        <v>0</v>
      </c>
      <c r="N365" s="16">
        <f ca="1">IF(Y365=0, 0, ROUND(SUM(Y$17:Y365)-SUM(J$17:J365),0))</f>
        <v>0</v>
      </c>
      <c r="O365" s="16" t="str">
        <f t="shared" ca="1" si="202"/>
        <v/>
      </c>
      <c r="P365" s="16" t="str">
        <f t="shared" ca="1" si="203"/>
        <v/>
      </c>
      <c r="Q365" s="160">
        <f t="shared" ca="1" si="233"/>
        <v>5000000</v>
      </c>
      <c r="R365" s="160">
        <f t="shared" ca="1" si="233"/>
        <v>0</v>
      </c>
      <c r="S365" s="160">
        <f t="shared" ca="1" si="233"/>
        <v>358488</v>
      </c>
      <c r="T365" s="160">
        <f t="shared" ca="1" si="233"/>
        <v>628000</v>
      </c>
      <c r="U365" s="161" t="str">
        <f t="shared" ca="1" si="205"/>
        <v/>
      </c>
      <c r="V365" s="162">
        <f t="shared" ca="1" si="196"/>
        <v>0.57999999999999996</v>
      </c>
      <c r="W365" s="195">
        <f t="shared" ca="1" si="224"/>
        <v>0</v>
      </c>
      <c r="X365" s="158">
        <f t="shared" ca="1" si="206"/>
        <v>0</v>
      </c>
      <c r="Y365" s="16">
        <f t="shared" ca="1" si="207"/>
        <v>0</v>
      </c>
      <c r="Z365" s="164">
        <f t="shared" ca="1" si="208"/>
        <v>0</v>
      </c>
      <c r="AA365" s="272">
        <f t="shared" ca="1" si="225"/>
        <v>0.22</v>
      </c>
      <c r="AB365" s="16">
        <f t="shared" ca="1" si="209"/>
        <v>0</v>
      </c>
      <c r="AC365" s="16">
        <f t="shared" ca="1" si="210"/>
        <v>0</v>
      </c>
      <c r="AD365" s="197"/>
      <c r="AE365" s="274">
        <f t="shared" ca="1" si="211"/>
        <v>1.6821425527395739E-3</v>
      </c>
      <c r="AF365" s="166">
        <f t="shared" ca="1" si="212"/>
        <v>0.55755453864597992</v>
      </c>
      <c r="AG365" s="16">
        <f t="shared" ca="1" si="213"/>
        <v>0</v>
      </c>
      <c r="AH365" s="16">
        <f t="shared" ca="1" si="214"/>
        <v>0</v>
      </c>
      <c r="AI365" s="168">
        <f t="shared" ca="1" si="215"/>
        <v>0</v>
      </c>
      <c r="AJ365" s="158">
        <f t="shared" ca="1" si="216"/>
        <v>0</v>
      </c>
      <c r="AK365" s="16">
        <f t="shared" ca="1" si="217"/>
        <v>0</v>
      </c>
      <c r="AL365" s="168">
        <f t="shared" ca="1" si="226"/>
        <v>0</v>
      </c>
      <c r="AM365" s="158">
        <f t="shared" ca="1" si="227"/>
        <v>0</v>
      </c>
      <c r="AN365" s="158">
        <f t="shared" ca="1" si="228"/>
        <v>0</v>
      </c>
      <c r="AO365" s="169" t="e">
        <f t="shared" ca="1" si="229"/>
        <v>#DIV/0!</v>
      </c>
      <c r="AP365" s="169" t="e">
        <f t="shared" ca="1" si="230"/>
        <v>#NUM!</v>
      </c>
      <c r="AQ365" s="158">
        <f t="shared" ca="1" si="231"/>
        <v>0</v>
      </c>
      <c r="AR365" s="158">
        <f t="shared" ca="1" si="232"/>
        <v>0</v>
      </c>
      <c r="AS365" s="170"/>
      <c r="AT365" s="159"/>
      <c r="AU365" s="159"/>
    </row>
    <row r="366" spans="1:47" x14ac:dyDescent="0.6">
      <c r="A366" s="171" t="str">
        <f t="shared" ca="1" si="197"/>
        <v>Januar 2054</v>
      </c>
      <c r="B366" s="191">
        <v>0</v>
      </c>
      <c r="C366" s="269">
        <f t="shared" ca="1" si="218"/>
        <v>5.4899999999999997E-2</v>
      </c>
      <c r="D366" s="173" t="str">
        <f t="shared" ca="1" si="219"/>
        <v/>
      </c>
      <c r="E366" s="174" t="str">
        <f t="shared" ca="1" si="220"/>
        <v/>
      </c>
      <c r="F366" s="175">
        <f t="shared" ca="1" si="221"/>
        <v>49</v>
      </c>
      <c r="G366" s="10">
        <v>349</v>
      </c>
      <c r="H366" s="176">
        <f t="shared" ca="1" si="222"/>
        <v>0</v>
      </c>
      <c r="I366" s="12">
        <f t="shared" ca="1" si="223"/>
        <v>0</v>
      </c>
      <c r="J366" s="12">
        <f t="shared" ca="1" si="198"/>
        <v>0</v>
      </c>
      <c r="K366" s="177">
        <f t="shared" ca="1" si="199"/>
        <v>0</v>
      </c>
      <c r="L366" s="177">
        <f t="shared" ca="1" si="200"/>
        <v>0</v>
      </c>
      <c r="M366" s="11">
        <f t="shared" ca="1" si="201"/>
        <v>0</v>
      </c>
      <c r="N366" s="12">
        <f ca="1">IF(Y366=0, 0, ROUND(SUM(Y$17:Y366)-SUM(J$17:J366),0))</f>
        <v>0</v>
      </c>
      <c r="O366" s="12" t="str">
        <f t="shared" ca="1" si="202"/>
        <v/>
      </c>
      <c r="P366" s="12" t="str">
        <f t="shared" ca="1" si="203"/>
        <v/>
      </c>
      <c r="Q366" s="178">
        <f t="shared" ca="1" si="233"/>
        <v>5000000</v>
      </c>
      <c r="R366" s="178">
        <f t="shared" ca="1" si="233"/>
        <v>0</v>
      </c>
      <c r="S366" s="178">
        <f t="shared" ca="1" si="233"/>
        <v>358488</v>
      </c>
      <c r="T366" s="178">
        <f t="shared" ca="1" si="233"/>
        <v>628000</v>
      </c>
      <c r="U366" s="179" t="str">
        <f t="shared" ca="1" si="205"/>
        <v/>
      </c>
      <c r="V366" s="180">
        <f t="shared" ca="1" si="196"/>
        <v>0.57999999999999996</v>
      </c>
      <c r="W366" s="181">
        <f t="shared" ca="1" si="224"/>
        <v>0</v>
      </c>
      <c r="X366" s="177">
        <f t="shared" ca="1" si="206"/>
        <v>0</v>
      </c>
      <c r="Y366" s="12">
        <f t="shared" ca="1" si="207"/>
        <v>0</v>
      </c>
      <c r="Z366" s="182">
        <f t="shared" ca="1" si="208"/>
        <v>0</v>
      </c>
      <c r="AA366" s="271">
        <f t="shared" ca="1" si="225"/>
        <v>0.22</v>
      </c>
      <c r="AB366" s="12">
        <f t="shared" ca="1" si="209"/>
        <v>0</v>
      </c>
      <c r="AC366" s="12">
        <f t="shared" ca="1" si="210"/>
        <v>0</v>
      </c>
      <c r="AD366" s="199"/>
      <c r="AE366" s="273">
        <f t="shared" ca="1" si="211"/>
        <v>1.6821425527395739E-3</v>
      </c>
      <c r="AF366" s="184">
        <f t="shared" ca="1" si="212"/>
        <v>0.55661665243105041</v>
      </c>
      <c r="AG366" s="12">
        <f t="shared" ca="1" si="213"/>
        <v>0</v>
      </c>
      <c r="AH366" s="12">
        <f t="shared" ca="1" si="214"/>
        <v>0</v>
      </c>
      <c r="AI366" s="185">
        <f t="shared" ca="1" si="215"/>
        <v>0</v>
      </c>
      <c r="AJ366" s="177">
        <f t="shared" ca="1" si="216"/>
        <v>0</v>
      </c>
      <c r="AK366" s="12">
        <f t="shared" ca="1" si="217"/>
        <v>0</v>
      </c>
      <c r="AL366" s="185">
        <f t="shared" ca="1" si="226"/>
        <v>0</v>
      </c>
      <c r="AM366" s="177">
        <f t="shared" ca="1" si="227"/>
        <v>0</v>
      </c>
      <c r="AN366" s="177">
        <f t="shared" ca="1" si="228"/>
        <v>0</v>
      </c>
      <c r="AO366" s="196" t="e">
        <f t="shared" ca="1" si="229"/>
        <v>#DIV/0!</v>
      </c>
      <c r="AP366" s="196" t="e">
        <f t="shared" ca="1" si="230"/>
        <v>#NUM!</v>
      </c>
      <c r="AQ366" s="177">
        <f t="shared" ca="1" si="231"/>
        <v>0</v>
      </c>
      <c r="AR366" s="177">
        <f t="shared" ca="1" si="232"/>
        <v>0</v>
      </c>
      <c r="AS366" s="189"/>
      <c r="AT366" s="190"/>
      <c r="AU366" s="190"/>
    </row>
    <row r="367" spans="1:47" x14ac:dyDescent="0.6">
      <c r="A367" s="152" t="str">
        <f t="shared" ca="1" si="197"/>
        <v>Februar 2054</v>
      </c>
      <c r="B367" s="191">
        <v>0</v>
      </c>
      <c r="C367" s="270">
        <f t="shared" ca="1" si="218"/>
        <v>5.4899999999999997E-2</v>
      </c>
      <c r="D367" s="192" t="str">
        <f t="shared" ca="1" si="219"/>
        <v/>
      </c>
      <c r="E367" s="193" t="str">
        <f t="shared" ca="1" si="220"/>
        <v/>
      </c>
      <c r="F367" s="194">
        <f t="shared" ca="1" si="221"/>
        <v>49</v>
      </c>
      <c r="G367" s="14">
        <v>350</v>
      </c>
      <c r="H367" s="157">
        <f t="shared" ca="1" si="222"/>
        <v>0</v>
      </c>
      <c r="I367" s="16">
        <f t="shared" ca="1" si="223"/>
        <v>0</v>
      </c>
      <c r="J367" s="16">
        <f t="shared" ca="1" si="198"/>
        <v>0</v>
      </c>
      <c r="K367" s="158">
        <f t="shared" ca="1" si="199"/>
        <v>0</v>
      </c>
      <c r="L367" s="158">
        <f t="shared" ca="1" si="200"/>
        <v>0</v>
      </c>
      <c r="M367" s="15">
        <f t="shared" ca="1" si="201"/>
        <v>0</v>
      </c>
      <c r="N367" s="16">
        <f ca="1">IF(Y367=0, 0, ROUND(SUM(Y$17:Y367)-SUM(J$17:J367),0))</f>
        <v>0</v>
      </c>
      <c r="O367" s="16" t="str">
        <f t="shared" ca="1" si="202"/>
        <v/>
      </c>
      <c r="P367" s="16" t="str">
        <f t="shared" ca="1" si="203"/>
        <v/>
      </c>
      <c r="Q367" s="160">
        <f t="shared" ca="1" si="233"/>
        <v>5000000</v>
      </c>
      <c r="R367" s="160">
        <f t="shared" ca="1" si="233"/>
        <v>0</v>
      </c>
      <c r="S367" s="160">
        <f t="shared" ca="1" si="233"/>
        <v>358488</v>
      </c>
      <c r="T367" s="160">
        <f t="shared" ca="1" si="233"/>
        <v>628000</v>
      </c>
      <c r="U367" s="161" t="str">
        <f t="shared" ca="1" si="205"/>
        <v/>
      </c>
      <c r="V367" s="162">
        <f t="shared" ca="1" si="196"/>
        <v>0.57999999999999996</v>
      </c>
      <c r="W367" s="195">
        <f t="shared" ca="1" si="224"/>
        <v>0</v>
      </c>
      <c r="X367" s="158">
        <f t="shared" ca="1" si="206"/>
        <v>0</v>
      </c>
      <c r="Y367" s="16">
        <f t="shared" ca="1" si="207"/>
        <v>0</v>
      </c>
      <c r="Z367" s="164">
        <f t="shared" ca="1" si="208"/>
        <v>0</v>
      </c>
      <c r="AA367" s="272">
        <f t="shared" ca="1" si="225"/>
        <v>0.22</v>
      </c>
      <c r="AB367" s="16">
        <f t="shared" ca="1" si="209"/>
        <v>0</v>
      </c>
      <c r="AC367" s="16">
        <f t="shared" ca="1" si="210"/>
        <v>0</v>
      </c>
      <c r="AD367" s="197"/>
      <c r="AE367" s="274">
        <f t="shared" ca="1" si="211"/>
        <v>1.6821425527395739E-3</v>
      </c>
      <c r="AF367" s="166">
        <f t="shared" ca="1" si="212"/>
        <v>0.55568034387443266</v>
      </c>
      <c r="AG367" s="16">
        <f t="shared" ca="1" si="213"/>
        <v>0</v>
      </c>
      <c r="AH367" s="16">
        <f t="shared" ca="1" si="214"/>
        <v>0</v>
      </c>
      <c r="AI367" s="168">
        <f t="shared" ca="1" si="215"/>
        <v>0</v>
      </c>
      <c r="AJ367" s="158">
        <f t="shared" ca="1" si="216"/>
        <v>0</v>
      </c>
      <c r="AK367" s="16">
        <f t="shared" ca="1" si="217"/>
        <v>0</v>
      </c>
      <c r="AL367" s="168">
        <f t="shared" ca="1" si="226"/>
        <v>0</v>
      </c>
      <c r="AM367" s="158">
        <f t="shared" ca="1" si="227"/>
        <v>0</v>
      </c>
      <c r="AN367" s="158">
        <f t="shared" ca="1" si="228"/>
        <v>0</v>
      </c>
      <c r="AO367" s="169" t="e">
        <f t="shared" ca="1" si="229"/>
        <v>#DIV/0!</v>
      </c>
      <c r="AP367" s="169" t="e">
        <f t="shared" ca="1" si="230"/>
        <v>#NUM!</v>
      </c>
      <c r="AQ367" s="158">
        <f t="shared" ca="1" si="231"/>
        <v>0</v>
      </c>
      <c r="AR367" s="158">
        <f t="shared" ca="1" si="232"/>
        <v>0</v>
      </c>
      <c r="AS367" s="170"/>
      <c r="AT367" s="159"/>
      <c r="AU367" s="159"/>
    </row>
    <row r="368" spans="1:47" x14ac:dyDescent="0.6">
      <c r="A368" s="171" t="str">
        <f t="shared" ca="1" si="197"/>
        <v>Mars 2054</v>
      </c>
      <c r="B368" s="191">
        <v>0</v>
      </c>
      <c r="C368" s="269">
        <f t="shared" ca="1" si="218"/>
        <v>5.4899999999999997E-2</v>
      </c>
      <c r="D368" s="173" t="str">
        <f t="shared" ca="1" si="219"/>
        <v/>
      </c>
      <c r="E368" s="174" t="str">
        <f t="shared" ca="1" si="220"/>
        <v/>
      </c>
      <c r="F368" s="175">
        <f t="shared" ca="1" si="221"/>
        <v>49</v>
      </c>
      <c r="G368" s="10">
        <v>351</v>
      </c>
      <c r="H368" s="176">
        <f t="shared" ca="1" si="222"/>
        <v>0</v>
      </c>
      <c r="I368" s="12">
        <f t="shared" ca="1" si="223"/>
        <v>0</v>
      </c>
      <c r="J368" s="12">
        <f t="shared" ca="1" si="198"/>
        <v>0</v>
      </c>
      <c r="K368" s="177">
        <f t="shared" ca="1" si="199"/>
        <v>0</v>
      </c>
      <c r="L368" s="177">
        <f t="shared" ca="1" si="200"/>
        <v>0</v>
      </c>
      <c r="M368" s="11">
        <f t="shared" ca="1" si="201"/>
        <v>0</v>
      </c>
      <c r="N368" s="12">
        <f ca="1">IF(Y368=0, 0, ROUND(SUM(Y$17:Y368)-SUM(J$17:J368),0))</f>
        <v>0</v>
      </c>
      <c r="O368" s="12" t="str">
        <f t="shared" ca="1" si="202"/>
        <v/>
      </c>
      <c r="P368" s="12" t="str">
        <f t="shared" ca="1" si="203"/>
        <v/>
      </c>
      <c r="Q368" s="178">
        <f t="shared" ca="1" si="233"/>
        <v>5000000</v>
      </c>
      <c r="R368" s="178">
        <f t="shared" ca="1" si="233"/>
        <v>0</v>
      </c>
      <c r="S368" s="178">
        <f t="shared" ca="1" si="233"/>
        <v>358488</v>
      </c>
      <c r="T368" s="178">
        <f t="shared" ca="1" si="233"/>
        <v>628000</v>
      </c>
      <c r="U368" s="179" t="str">
        <f t="shared" ca="1" si="205"/>
        <v/>
      </c>
      <c r="V368" s="180">
        <f t="shared" ca="1" si="196"/>
        <v>0.57999999999999996</v>
      </c>
      <c r="W368" s="181">
        <f t="shared" ca="1" si="224"/>
        <v>0</v>
      </c>
      <c r="X368" s="177">
        <f t="shared" ca="1" si="206"/>
        <v>0</v>
      </c>
      <c r="Y368" s="12">
        <f t="shared" ca="1" si="207"/>
        <v>0</v>
      </c>
      <c r="Z368" s="182">
        <f t="shared" ca="1" si="208"/>
        <v>0</v>
      </c>
      <c r="AA368" s="271">
        <f t="shared" ca="1" si="225"/>
        <v>0.22</v>
      </c>
      <c r="AB368" s="12">
        <f t="shared" ca="1" si="209"/>
        <v>0</v>
      </c>
      <c r="AC368" s="12">
        <f t="shared" ca="1" si="210"/>
        <v>0</v>
      </c>
      <c r="AD368" s="199"/>
      <c r="AE368" s="273">
        <f t="shared" ca="1" si="211"/>
        <v>1.6821425527395739E-3</v>
      </c>
      <c r="AF368" s="184">
        <f t="shared" ca="1" si="212"/>
        <v>0.55474561032228054</v>
      </c>
      <c r="AG368" s="12">
        <f t="shared" ca="1" si="213"/>
        <v>0</v>
      </c>
      <c r="AH368" s="12">
        <f t="shared" ca="1" si="214"/>
        <v>0</v>
      </c>
      <c r="AI368" s="185">
        <f t="shared" ca="1" si="215"/>
        <v>0</v>
      </c>
      <c r="AJ368" s="177">
        <f t="shared" ca="1" si="216"/>
        <v>0</v>
      </c>
      <c r="AK368" s="12">
        <f t="shared" ca="1" si="217"/>
        <v>0</v>
      </c>
      <c r="AL368" s="185">
        <f t="shared" ca="1" si="226"/>
        <v>0</v>
      </c>
      <c r="AM368" s="177">
        <f t="shared" ca="1" si="227"/>
        <v>0</v>
      </c>
      <c r="AN368" s="177">
        <f t="shared" ca="1" si="228"/>
        <v>0</v>
      </c>
      <c r="AO368" s="196" t="e">
        <f t="shared" ca="1" si="229"/>
        <v>#DIV/0!</v>
      </c>
      <c r="AP368" s="196" t="e">
        <f t="shared" ca="1" si="230"/>
        <v>#NUM!</v>
      </c>
      <c r="AQ368" s="177">
        <f t="shared" ca="1" si="231"/>
        <v>0</v>
      </c>
      <c r="AR368" s="177">
        <f t="shared" ca="1" si="232"/>
        <v>0</v>
      </c>
      <c r="AS368" s="189"/>
      <c r="AT368" s="190"/>
      <c r="AU368" s="190"/>
    </row>
    <row r="369" spans="1:47" x14ac:dyDescent="0.6">
      <c r="A369" s="152" t="str">
        <f t="shared" ca="1" si="197"/>
        <v>April 2054</v>
      </c>
      <c r="B369" s="191">
        <v>0</v>
      </c>
      <c r="C369" s="270">
        <f t="shared" ca="1" si="218"/>
        <v>5.4899999999999997E-2</v>
      </c>
      <c r="D369" s="192" t="str">
        <f t="shared" ca="1" si="219"/>
        <v/>
      </c>
      <c r="E369" s="193" t="str">
        <f t="shared" ca="1" si="220"/>
        <v/>
      </c>
      <c r="F369" s="194">
        <f t="shared" ca="1" si="221"/>
        <v>49</v>
      </c>
      <c r="G369" s="14">
        <v>352</v>
      </c>
      <c r="H369" s="157">
        <f t="shared" ca="1" si="222"/>
        <v>0</v>
      </c>
      <c r="I369" s="16">
        <f t="shared" ca="1" si="223"/>
        <v>0</v>
      </c>
      <c r="J369" s="16">
        <f t="shared" ca="1" si="198"/>
        <v>0</v>
      </c>
      <c r="K369" s="158">
        <f t="shared" ca="1" si="199"/>
        <v>0</v>
      </c>
      <c r="L369" s="158">
        <f t="shared" ca="1" si="200"/>
        <v>0</v>
      </c>
      <c r="M369" s="15">
        <f t="shared" ca="1" si="201"/>
        <v>0</v>
      </c>
      <c r="N369" s="16">
        <f ca="1">IF(Y369=0, 0, ROUND(SUM(Y$17:Y369)-SUM(J$17:J369),0))</f>
        <v>0</v>
      </c>
      <c r="O369" s="16" t="str">
        <f t="shared" ca="1" si="202"/>
        <v/>
      </c>
      <c r="P369" s="16" t="str">
        <f t="shared" ca="1" si="203"/>
        <v/>
      </c>
      <c r="Q369" s="160">
        <f t="shared" ca="1" si="233"/>
        <v>5000000</v>
      </c>
      <c r="R369" s="160">
        <f t="shared" ca="1" si="233"/>
        <v>0</v>
      </c>
      <c r="S369" s="160">
        <f t="shared" ca="1" si="233"/>
        <v>358488</v>
      </c>
      <c r="T369" s="160">
        <f t="shared" ca="1" si="233"/>
        <v>628000</v>
      </c>
      <c r="U369" s="161" t="str">
        <f t="shared" ca="1" si="205"/>
        <v/>
      </c>
      <c r="V369" s="162">
        <f t="shared" ca="1" si="196"/>
        <v>0.57999999999999996</v>
      </c>
      <c r="W369" s="195">
        <f t="shared" ca="1" si="224"/>
        <v>0</v>
      </c>
      <c r="X369" s="158">
        <f t="shared" ca="1" si="206"/>
        <v>0</v>
      </c>
      <c r="Y369" s="16">
        <f t="shared" ca="1" si="207"/>
        <v>0</v>
      </c>
      <c r="Z369" s="164">
        <f t="shared" ca="1" si="208"/>
        <v>0</v>
      </c>
      <c r="AA369" s="272">
        <f t="shared" ca="1" si="225"/>
        <v>0.22</v>
      </c>
      <c r="AB369" s="16">
        <f t="shared" ca="1" si="209"/>
        <v>0</v>
      </c>
      <c r="AC369" s="16">
        <f t="shared" ca="1" si="210"/>
        <v>0</v>
      </c>
      <c r="AD369" s="197"/>
      <c r="AE369" s="274">
        <f t="shared" ca="1" si="211"/>
        <v>1.6821425527395739E-3</v>
      </c>
      <c r="AF369" s="166">
        <f t="shared" ca="1" si="212"/>
        <v>0.55381244912521199</v>
      </c>
      <c r="AG369" s="16">
        <f t="shared" ca="1" si="213"/>
        <v>0</v>
      </c>
      <c r="AH369" s="16">
        <f t="shared" ca="1" si="214"/>
        <v>0</v>
      </c>
      <c r="AI369" s="168">
        <f t="shared" ca="1" si="215"/>
        <v>0</v>
      </c>
      <c r="AJ369" s="158">
        <f t="shared" ca="1" si="216"/>
        <v>0</v>
      </c>
      <c r="AK369" s="16">
        <f t="shared" ca="1" si="217"/>
        <v>0</v>
      </c>
      <c r="AL369" s="168">
        <f t="shared" ca="1" si="226"/>
        <v>0</v>
      </c>
      <c r="AM369" s="158">
        <f t="shared" ca="1" si="227"/>
        <v>0</v>
      </c>
      <c r="AN369" s="158">
        <f t="shared" ca="1" si="228"/>
        <v>0</v>
      </c>
      <c r="AO369" s="169" t="e">
        <f t="shared" ca="1" si="229"/>
        <v>#DIV/0!</v>
      </c>
      <c r="AP369" s="169" t="e">
        <f t="shared" ca="1" si="230"/>
        <v>#NUM!</v>
      </c>
      <c r="AQ369" s="158">
        <f t="shared" ca="1" si="231"/>
        <v>0</v>
      </c>
      <c r="AR369" s="158">
        <f t="shared" ca="1" si="232"/>
        <v>0</v>
      </c>
      <c r="AS369" s="170"/>
      <c r="AT369" s="159"/>
      <c r="AU369" s="159"/>
    </row>
    <row r="370" spans="1:47" x14ac:dyDescent="0.6">
      <c r="A370" s="171" t="str">
        <f t="shared" ca="1" si="197"/>
        <v>Mai 2054</v>
      </c>
      <c r="B370" s="191">
        <v>0</v>
      </c>
      <c r="C370" s="269">
        <f t="shared" ca="1" si="218"/>
        <v>5.4899999999999997E-2</v>
      </c>
      <c r="D370" s="173" t="str">
        <f t="shared" ca="1" si="219"/>
        <v/>
      </c>
      <c r="E370" s="174" t="str">
        <f t="shared" ca="1" si="220"/>
        <v/>
      </c>
      <c r="F370" s="175">
        <f t="shared" ca="1" si="221"/>
        <v>49</v>
      </c>
      <c r="G370" s="10">
        <v>353</v>
      </c>
      <c r="H370" s="176">
        <f t="shared" ca="1" si="222"/>
        <v>0</v>
      </c>
      <c r="I370" s="12">
        <f t="shared" ca="1" si="223"/>
        <v>0</v>
      </c>
      <c r="J370" s="12">
        <f t="shared" ca="1" si="198"/>
        <v>0</v>
      </c>
      <c r="K370" s="177">
        <f t="shared" ca="1" si="199"/>
        <v>0</v>
      </c>
      <c r="L370" s="177">
        <f t="shared" ca="1" si="200"/>
        <v>0</v>
      </c>
      <c r="M370" s="11">
        <f t="shared" ca="1" si="201"/>
        <v>0</v>
      </c>
      <c r="N370" s="12">
        <f ca="1">IF(Y370=0, 0, ROUND(SUM(Y$17:Y370)-SUM(J$17:J370),0))</f>
        <v>0</v>
      </c>
      <c r="O370" s="12" t="str">
        <f t="shared" ca="1" si="202"/>
        <v/>
      </c>
      <c r="P370" s="12" t="str">
        <f t="shared" ca="1" si="203"/>
        <v/>
      </c>
      <c r="Q370" s="178">
        <f t="shared" ca="1" si="233"/>
        <v>5000000</v>
      </c>
      <c r="R370" s="178">
        <f t="shared" ca="1" si="233"/>
        <v>0</v>
      </c>
      <c r="S370" s="178">
        <f t="shared" ca="1" si="233"/>
        <v>358488</v>
      </c>
      <c r="T370" s="178">
        <f t="shared" ca="1" si="233"/>
        <v>628000</v>
      </c>
      <c r="U370" s="179" t="str">
        <f t="shared" ca="1" si="205"/>
        <v/>
      </c>
      <c r="V370" s="180">
        <f t="shared" ca="1" si="196"/>
        <v>0.57999999999999996</v>
      </c>
      <c r="W370" s="181">
        <f t="shared" ca="1" si="224"/>
        <v>0</v>
      </c>
      <c r="X370" s="177">
        <f t="shared" ca="1" si="206"/>
        <v>0</v>
      </c>
      <c r="Y370" s="12">
        <f t="shared" ca="1" si="207"/>
        <v>0</v>
      </c>
      <c r="Z370" s="182">
        <f t="shared" ca="1" si="208"/>
        <v>0</v>
      </c>
      <c r="AA370" s="271">
        <f t="shared" ca="1" si="225"/>
        <v>0.22</v>
      </c>
      <c r="AB370" s="12">
        <f t="shared" ca="1" si="209"/>
        <v>0</v>
      </c>
      <c r="AC370" s="12">
        <f t="shared" ca="1" si="210"/>
        <v>0</v>
      </c>
      <c r="AD370" s="199"/>
      <c r="AE370" s="273">
        <f t="shared" ca="1" si="211"/>
        <v>1.6821425527395739E-3</v>
      </c>
      <c r="AF370" s="184">
        <f t="shared" ca="1" si="212"/>
        <v>0.55288085763830153</v>
      </c>
      <c r="AG370" s="12">
        <f t="shared" ca="1" si="213"/>
        <v>0</v>
      </c>
      <c r="AH370" s="12">
        <f t="shared" ca="1" si="214"/>
        <v>0</v>
      </c>
      <c r="AI370" s="185">
        <f t="shared" ca="1" si="215"/>
        <v>0</v>
      </c>
      <c r="AJ370" s="177">
        <f t="shared" ca="1" si="216"/>
        <v>0</v>
      </c>
      <c r="AK370" s="12">
        <f t="shared" ca="1" si="217"/>
        <v>0</v>
      </c>
      <c r="AL370" s="185">
        <f t="shared" ca="1" si="226"/>
        <v>0</v>
      </c>
      <c r="AM370" s="177">
        <f t="shared" ca="1" si="227"/>
        <v>0</v>
      </c>
      <c r="AN370" s="177">
        <f t="shared" ca="1" si="228"/>
        <v>0</v>
      </c>
      <c r="AO370" s="196" t="e">
        <f t="shared" ca="1" si="229"/>
        <v>#DIV/0!</v>
      </c>
      <c r="AP370" s="196" t="e">
        <f t="shared" ca="1" si="230"/>
        <v>#NUM!</v>
      </c>
      <c r="AQ370" s="177">
        <f t="shared" ca="1" si="231"/>
        <v>0</v>
      </c>
      <c r="AR370" s="177">
        <f t="shared" ca="1" si="232"/>
        <v>0</v>
      </c>
      <c r="AS370" s="189"/>
      <c r="AT370" s="190"/>
      <c r="AU370" s="190"/>
    </row>
    <row r="371" spans="1:47" x14ac:dyDescent="0.6">
      <c r="A371" s="152" t="str">
        <f t="shared" ca="1" si="197"/>
        <v>Juni 2054</v>
      </c>
      <c r="B371" s="191">
        <v>0</v>
      </c>
      <c r="C371" s="270">
        <f t="shared" ca="1" si="218"/>
        <v>5.4899999999999997E-2</v>
      </c>
      <c r="D371" s="192" t="str">
        <f t="shared" ca="1" si="219"/>
        <v/>
      </c>
      <c r="E371" s="193" t="str">
        <f t="shared" ca="1" si="220"/>
        <v/>
      </c>
      <c r="F371" s="194">
        <f t="shared" ca="1" si="221"/>
        <v>49</v>
      </c>
      <c r="G371" s="14">
        <v>354</v>
      </c>
      <c r="H371" s="157">
        <f t="shared" ca="1" si="222"/>
        <v>0</v>
      </c>
      <c r="I371" s="16">
        <f t="shared" ca="1" si="223"/>
        <v>0</v>
      </c>
      <c r="J371" s="16">
        <f t="shared" ca="1" si="198"/>
        <v>0</v>
      </c>
      <c r="K371" s="158">
        <f t="shared" ca="1" si="199"/>
        <v>0</v>
      </c>
      <c r="L371" s="158">
        <f t="shared" ca="1" si="200"/>
        <v>0</v>
      </c>
      <c r="M371" s="15">
        <f t="shared" ca="1" si="201"/>
        <v>0</v>
      </c>
      <c r="N371" s="16">
        <f ca="1">IF(Y371=0, 0, ROUND(SUM(Y$17:Y371)-SUM(J$17:J371),0))</f>
        <v>0</v>
      </c>
      <c r="O371" s="16" t="str">
        <f t="shared" ca="1" si="202"/>
        <v/>
      </c>
      <c r="P371" s="16" t="str">
        <f t="shared" ca="1" si="203"/>
        <v/>
      </c>
      <c r="Q371" s="160">
        <f t="shared" ca="1" si="233"/>
        <v>5000000</v>
      </c>
      <c r="R371" s="160">
        <f t="shared" ca="1" si="233"/>
        <v>0</v>
      </c>
      <c r="S371" s="160">
        <f t="shared" ca="1" si="233"/>
        <v>358488</v>
      </c>
      <c r="T371" s="160">
        <f t="shared" ca="1" si="233"/>
        <v>628000</v>
      </c>
      <c r="U371" s="161" t="str">
        <f t="shared" ca="1" si="205"/>
        <v/>
      </c>
      <c r="V371" s="162">
        <f t="shared" ca="1" si="196"/>
        <v>0.57999999999999996</v>
      </c>
      <c r="W371" s="195">
        <f t="shared" ca="1" si="224"/>
        <v>0</v>
      </c>
      <c r="X371" s="158">
        <f t="shared" ca="1" si="206"/>
        <v>0</v>
      </c>
      <c r="Y371" s="16">
        <f t="shared" ca="1" si="207"/>
        <v>0</v>
      </c>
      <c r="Z371" s="164">
        <f t="shared" ca="1" si="208"/>
        <v>0</v>
      </c>
      <c r="AA371" s="272">
        <f t="shared" ca="1" si="225"/>
        <v>0.22</v>
      </c>
      <c r="AB371" s="16">
        <f t="shared" ca="1" si="209"/>
        <v>0</v>
      </c>
      <c r="AC371" s="16">
        <f t="shared" ca="1" si="210"/>
        <v>0</v>
      </c>
      <c r="AD371" s="197"/>
      <c r="AE371" s="274">
        <f t="shared" ca="1" si="211"/>
        <v>1.6821425527395739E-3</v>
      </c>
      <c r="AF371" s="166">
        <f t="shared" ca="1" si="212"/>
        <v>0.55195083322107297</v>
      </c>
      <c r="AG371" s="16">
        <f t="shared" ca="1" si="213"/>
        <v>0</v>
      </c>
      <c r="AH371" s="16">
        <f t="shared" ca="1" si="214"/>
        <v>0</v>
      </c>
      <c r="AI371" s="168">
        <f t="shared" ca="1" si="215"/>
        <v>0</v>
      </c>
      <c r="AJ371" s="158">
        <f t="shared" ca="1" si="216"/>
        <v>0</v>
      </c>
      <c r="AK371" s="16">
        <f t="shared" ca="1" si="217"/>
        <v>0</v>
      </c>
      <c r="AL371" s="168">
        <f t="shared" ca="1" si="226"/>
        <v>0</v>
      </c>
      <c r="AM371" s="158">
        <f t="shared" ca="1" si="227"/>
        <v>0</v>
      </c>
      <c r="AN371" s="158">
        <f t="shared" ca="1" si="228"/>
        <v>0</v>
      </c>
      <c r="AO371" s="169" t="e">
        <f t="shared" ca="1" si="229"/>
        <v>#DIV/0!</v>
      </c>
      <c r="AP371" s="169" t="e">
        <f t="shared" ca="1" si="230"/>
        <v>#NUM!</v>
      </c>
      <c r="AQ371" s="158">
        <f t="shared" ca="1" si="231"/>
        <v>0</v>
      </c>
      <c r="AR371" s="158">
        <f t="shared" ca="1" si="232"/>
        <v>0</v>
      </c>
      <c r="AS371" s="170"/>
      <c r="AT371" s="159"/>
      <c r="AU371" s="159"/>
    </row>
    <row r="372" spans="1:47" x14ac:dyDescent="0.6">
      <c r="A372" s="171" t="str">
        <f t="shared" ca="1" si="197"/>
        <v>Juli 2054</v>
      </c>
      <c r="B372" s="191">
        <v>0</v>
      </c>
      <c r="C372" s="269">
        <f t="shared" ca="1" si="218"/>
        <v>5.4899999999999997E-2</v>
      </c>
      <c r="D372" s="173" t="str">
        <f t="shared" ca="1" si="219"/>
        <v/>
      </c>
      <c r="E372" s="174" t="str">
        <f t="shared" ca="1" si="220"/>
        <v/>
      </c>
      <c r="F372" s="175">
        <f t="shared" ca="1" si="221"/>
        <v>49</v>
      </c>
      <c r="G372" s="10">
        <v>355</v>
      </c>
      <c r="H372" s="176">
        <f t="shared" ca="1" si="222"/>
        <v>0</v>
      </c>
      <c r="I372" s="12">
        <f t="shared" ca="1" si="223"/>
        <v>0</v>
      </c>
      <c r="J372" s="12">
        <f t="shared" ca="1" si="198"/>
        <v>0</v>
      </c>
      <c r="K372" s="177">
        <f t="shared" ca="1" si="199"/>
        <v>0</v>
      </c>
      <c r="L372" s="177">
        <f t="shared" ca="1" si="200"/>
        <v>0</v>
      </c>
      <c r="M372" s="11">
        <f t="shared" ca="1" si="201"/>
        <v>0</v>
      </c>
      <c r="N372" s="12">
        <f ca="1">IF(Y372=0, 0, ROUND(SUM(Y$17:Y372)-SUM(J$17:J372),0))</f>
        <v>0</v>
      </c>
      <c r="O372" s="12" t="str">
        <f t="shared" ca="1" si="202"/>
        <v/>
      </c>
      <c r="P372" s="12" t="str">
        <f t="shared" ca="1" si="203"/>
        <v/>
      </c>
      <c r="Q372" s="178">
        <f t="shared" ca="1" si="233"/>
        <v>5000000</v>
      </c>
      <c r="R372" s="178">
        <f t="shared" ca="1" si="233"/>
        <v>0</v>
      </c>
      <c r="S372" s="178">
        <f t="shared" ca="1" si="233"/>
        <v>358488</v>
      </c>
      <c r="T372" s="178">
        <f t="shared" ca="1" si="233"/>
        <v>628000</v>
      </c>
      <c r="U372" s="179" t="str">
        <f t="shared" ca="1" si="205"/>
        <v/>
      </c>
      <c r="V372" s="180">
        <f t="shared" ca="1" si="196"/>
        <v>0.57999999999999996</v>
      </c>
      <c r="W372" s="181">
        <f t="shared" ca="1" si="224"/>
        <v>0</v>
      </c>
      <c r="X372" s="177">
        <f t="shared" ca="1" si="206"/>
        <v>0</v>
      </c>
      <c r="Y372" s="12">
        <f t="shared" ca="1" si="207"/>
        <v>0</v>
      </c>
      <c r="Z372" s="182">
        <f t="shared" ca="1" si="208"/>
        <v>0</v>
      </c>
      <c r="AA372" s="271">
        <f t="shared" ca="1" si="225"/>
        <v>0.22</v>
      </c>
      <c r="AB372" s="12">
        <f t="shared" ca="1" si="209"/>
        <v>0</v>
      </c>
      <c r="AC372" s="12">
        <f t="shared" ca="1" si="210"/>
        <v>0</v>
      </c>
      <c r="AD372" s="199"/>
      <c r="AE372" s="273">
        <f t="shared" ca="1" si="211"/>
        <v>1.6821425527395739E-3</v>
      </c>
      <c r="AF372" s="184">
        <f t="shared" ca="1" si="212"/>
        <v>0.5510223732374917</v>
      </c>
      <c r="AG372" s="12">
        <f t="shared" ca="1" si="213"/>
        <v>0</v>
      </c>
      <c r="AH372" s="12">
        <f t="shared" ca="1" si="214"/>
        <v>0</v>
      </c>
      <c r="AI372" s="185">
        <f t="shared" ca="1" si="215"/>
        <v>0</v>
      </c>
      <c r="AJ372" s="177">
        <f t="shared" ca="1" si="216"/>
        <v>0</v>
      </c>
      <c r="AK372" s="12">
        <f t="shared" ca="1" si="217"/>
        <v>0</v>
      </c>
      <c r="AL372" s="185">
        <f t="shared" ca="1" si="226"/>
        <v>0</v>
      </c>
      <c r="AM372" s="177">
        <f t="shared" ca="1" si="227"/>
        <v>0</v>
      </c>
      <c r="AN372" s="177">
        <f t="shared" ca="1" si="228"/>
        <v>0</v>
      </c>
      <c r="AO372" s="196" t="e">
        <f t="shared" ca="1" si="229"/>
        <v>#DIV/0!</v>
      </c>
      <c r="AP372" s="196" t="e">
        <f t="shared" ca="1" si="230"/>
        <v>#NUM!</v>
      </c>
      <c r="AQ372" s="177">
        <f t="shared" ca="1" si="231"/>
        <v>0</v>
      </c>
      <c r="AR372" s="177">
        <f t="shared" ca="1" si="232"/>
        <v>0</v>
      </c>
      <c r="AS372" s="189"/>
      <c r="AT372" s="190"/>
      <c r="AU372" s="190"/>
    </row>
    <row r="373" spans="1:47" x14ac:dyDescent="0.6">
      <c r="A373" s="152" t="str">
        <f t="shared" ca="1" si="197"/>
        <v>August 2054</v>
      </c>
      <c r="B373" s="191">
        <v>0</v>
      </c>
      <c r="C373" s="270">
        <f t="shared" ca="1" si="218"/>
        <v>5.4899999999999997E-2</v>
      </c>
      <c r="D373" s="192" t="str">
        <f t="shared" ca="1" si="219"/>
        <v/>
      </c>
      <c r="E373" s="193" t="str">
        <f t="shared" ca="1" si="220"/>
        <v/>
      </c>
      <c r="F373" s="194">
        <f t="shared" ca="1" si="221"/>
        <v>49</v>
      </c>
      <c r="G373" s="14">
        <v>356</v>
      </c>
      <c r="H373" s="157">
        <f t="shared" ca="1" si="222"/>
        <v>0</v>
      </c>
      <c r="I373" s="16">
        <f t="shared" ca="1" si="223"/>
        <v>0</v>
      </c>
      <c r="J373" s="16">
        <f t="shared" ca="1" si="198"/>
        <v>0</v>
      </c>
      <c r="K373" s="158">
        <f t="shared" ca="1" si="199"/>
        <v>0</v>
      </c>
      <c r="L373" s="158">
        <f t="shared" ca="1" si="200"/>
        <v>0</v>
      </c>
      <c r="M373" s="15">
        <f t="shared" ca="1" si="201"/>
        <v>0</v>
      </c>
      <c r="N373" s="16">
        <f ca="1">IF(Y373=0, 0, ROUND(SUM(Y$17:Y373)-SUM(J$17:J373),0))</f>
        <v>0</v>
      </c>
      <c r="O373" s="16" t="str">
        <f t="shared" ca="1" si="202"/>
        <v/>
      </c>
      <c r="P373" s="16" t="str">
        <f t="shared" ca="1" si="203"/>
        <v/>
      </c>
      <c r="Q373" s="160">
        <f t="shared" ca="1" si="233"/>
        <v>5000000</v>
      </c>
      <c r="R373" s="160">
        <f t="shared" ca="1" si="233"/>
        <v>0</v>
      </c>
      <c r="S373" s="160">
        <f t="shared" ca="1" si="233"/>
        <v>358488</v>
      </c>
      <c r="T373" s="160">
        <f t="shared" ca="1" si="233"/>
        <v>628000</v>
      </c>
      <c r="U373" s="161" t="str">
        <f t="shared" ca="1" si="205"/>
        <v/>
      </c>
      <c r="V373" s="162">
        <f t="shared" ca="1" si="196"/>
        <v>0.57999999999999996</v>
      </c>
      <c r="W373" s="195">
        <f t="shared" ca="1" si="224"/>
        <v>0</v>
      </c>
      <c r="X373" s="158">
        <f t="shared" ca="1" si="206"/>
        <v>0</v>
      </c>
      <c r="Y373" s="16">
        <f t="shared" ca="1" si="207"/>
        <v>0</v>
      </c>
      <c r="Z373" s="164">
        <f t="shared" ca="1" si="208"/>
        <v>0</v>
      </c>
      <c r="AA373" s="272">
        <f t="shared" ca="1" si="225"/>
        <v>0.22</v>
      </c>
      <c r="AB373" s="16">
        <f t="shared" ca="1" si="209"/>
        <v>0</v>
      </c>
      <c r="AC373" s="16">
        <f t="shared" ca="1" si="210"/>
        <v>0</v>
      </c>
      <c r="AD373" s="197"/>
      <c r="AE373" s="274">
        <f t="shared" ca="1" si="211"/>
        <v>1.6821425527395739E-3</v>
      </c>
      <c r="AF373" s="166">
        <f t="shared" ca="1" si="212"/>
        <v>0.55009547505595735</v>
      </c>
      <c r="AG373" s="16">
        <f t="shared" ca="1" si="213"/>
        <v>0</v>
      </c>
      <c r="AH373" s="16">
        <f t="shared" ca="1" si="214"/>
        <v>0</v>
      </c>
      <c r="AI373" s="168">
        <f t="shared" ca="1" si="215"/>
        <v>0</v>
      </c>
      <c r="AJ373" s="158">
        <f t="shared" ca="1" si="216"/>
        <v>0</v>
      </c>
      <c r="AK373" s="16">
        <f t="shared" ca="1" si="217"/>
        <v>0</v>
      </c>
      <c r="AL373" s="168">
        <f t="shared" ca="1" si="226"/>
        <v>0</v>
      </c>
      <c r="AM373" s="158">
        <f t="shared" ca="1" si="227"/>
        <v>0</v>
      </c>
      <c r="AN373" s="158">
        <f t="shared" ca="1" si="228"/>
        <v>0</v>
      </c>
      <c r="AO373" s="169" t="e">
        <f t="shared" ca="1" si="229"/>
        <v>#DIV/0!</v>
      </c>
      <c r="AP373" s="169" t="e">
        <f t="shared" ca="1" si="230"/>
        <v>#NUM!</v>
      </c>
      <c r="AQ373" s="158">
        <f t="shared" ca="1" si="231"/>
        <v>0</v>
      </c>
      <c r="AR373" s="158">
        <f t="shared" ca="1" si="232"/>
        <v>0</v>
      </c>
      <c r="AS373" s="170"/>
      <c r="AT373" s="159"/>
      <c r="AU373" s="159"/>
    </row>
    <row r="374" spans="1:47" x14ac:dyDescent="0.6">
      <c r="A374" s="171" t="str">
        <f t="shared" ca="1" si="197"/>
        <v>September 2054</v>
      </c>
      <c r="B374" s="191">
        <v>0</v>
      </c>
      <c r="C374" s="269">
        <f t="shared" ca="1" si="218"/>
        <v>5.4899999999999997E-2</v>
      </c>
      <c r="D374" s="173" t="str">
        <f t="shared" ca="1" si="219"/>
        <v/>
      </c>
      <c r="E374" s="174" t="str">
        <f t="shared" ca="1" si="220"/>
        <v/>
      </c>
      <c r="F374" s="175">
        <f t="shared" ca="1" si="221"/>
        <v>49</v>
      </c>
      <c r="G374" s="10">
        <v>357</v>
      </c>
      <c r="H374" s="176">
        <f t="shared" ca="1" si="222"/>
        <v>0</v>
      </c>
      <c r="I374" s="12">
        <f t="shared" ca="1" si="223"/>
        <v>0</v>
      </c>
      <c r="J374" s="12">
        <f t="shared" ca="1" si="198"/>
        <v>0</v>
      </c>
      <c r="K374" s="177">
        <f t="shared" ca="1" si="199"/>
        <v>0</v>
      </c>
      <c r="L374" s="177">
        <f t="shared" ca="1" si="200"/>
        <v>0</v>
      </c>
      <c r="M374" s="11">
        <f t="shared" ca="1" si="201"/>
        <v>0</v>
      </c>
      <c r="N374" s="12">
        <f ca="1">IF(Y374=0, 0, ROUND(SUM(Y$17:Y374)-SUM(J$17:J374),0))</f>
        <v>0</v>
      </c>
      <c r="O374" s="12" t="str">
        <f t="shared" ca="1" si="202"/>
        <v/>
      </c>
      <c r="P374" s="12" t="str">
        <f t="shared" ca="1" si="203"/>
        <v/>
      </c>
      <c r="Q374" s="178">
        <f t="shared" ca="1" si="233"/>
        <v>5000000</v>
      </c>
      <c r="R374" s="178">
        <f t="shared" ca="1" si="233"/>
        <v>0</v>
      </c>
      <c r="S374" s="178">
        <f t="shared" ca="1" si="233"/>
        <v>358488</v>
      </c>
      <c r="T374" s="178">
        <f t="shared" ca="1" si="233"/>
        <v>628000</v>
      </c>
      <c r="U374" s="179" t="str">
        <f t="shared" ca="1" si="205"/>
        <v/>
      </c>
      <c r="V374" s="180">
        <f t="shared" ca="1" si="196"/>
        <v>0.57999999999999996</v>
      </c>
      <c r="W374" s="181">
        <f t="shared" ca="1" si="224"/>
        <v>0</v>
      </c>
      <c r="X374" s="177">
        <f t="shared" ca="1" si="206"/>
        <v>0</v>
      </c>
      <c r="Y374" s="12">
        <f t="shared" ca="1" si="207"/>
        <v>0</v>
      </c>
      <c r="Z374" s="182">
        <f t="shared" ca="1" si="208"/>
        <v>0</v>
      </c>
      <c r="AA374" s="271">
        <f t="shared" ca="1" si="225"/>
        <v>0.22</v>
      </c>
      <c r="AB374" s="12">
        <f t="shared" ca="1" si="209"/>
        <v>0</v>
      </c>
      <c r="AC374" s="12">
        <f t="shared" ca="1" si="210"/>
        <v>0</v>
      </c>
      <c r="AD374" s="199"/>
      <c r="AE374" s="273">
        <f t="shared" ca="1" si="211"/>
        <v>1.6821425527395739E-3</v>
      </c>
      <c r="AF374" s="184">
        <f t="shared" ca="1" si="212"/>
        <v>0.54917013604929621</v>
      </c>
      <c r="AG374" s="12">
        <f t="shared" ca="1" si="213"/>
        <v>0</v>
      </c>
      <c r="AH374" s="12">
        <f t="shared" ca="1" si="214"/>
        <v>0</v>
      </c>
      <c r="AI374" s="185">
        <f t="shared" ca="1" si="215"/>
        <v>0</v>
      </c>
      <c r="AJ374" s="177">
        <f t="shared" ca="1" si="216"/>
        <v>0</v>
      </c>
      <c r="AK374" s="12">
        <f t="shared" ca="1" si="217"/>
        <v>0</v>
      </c>
      <c r="AL374" s="185">
        <f t="shared" ca="1" si="226"/>
        <v>0</v>
      </c>
      <c r="AM374" s="177">
        <f t="shared" ca="1" si="227"/>
        <v>0</v>
      </c>
      <c r="AN374" s="177">
        <f t="shared" ca="1" si="228"/>
        <v>0</v>
      </c>
      <c r="AO374" s="196" t="e">
        <f t="shared" ca="1" si="229"/>
        <v>#DIV/0!</v>
      </c>
      <c r="AP374" s="196" t="e">
        <f t="shared" ca="1" si="230"/>
        <v>#NUM!</v>
      </c>
      <c r="AQ374" s="177">
        <f t="shared" ca="1" si="231"/>
        <v>0</v>
      </c>
      <c r="AR374" s="177">
        <f t="shared" ca="1" si="232"/>
        <v>0</v>
      </c>
      <c r="AS374" s="189"/>
      <c r="AT374" s="190"/>
      <c r="AU374" s="190"/>
    </row>
    <row r="375" spans="1:47" x14ac:dyDescent="0.6">
      <c r="A375" s="152" t="str">
        <f t="shared" ca="1" si="197"/>
        <v>Oktober 2054</v>
      </c>
      <c r="B375" s="191">
        <v>0</v>
      </c>
      <c r="C375" s="270">
        <f t="shared" ca="1" si="218"/>
        <v>5.4899999999999997E-2</v>
      </c>
      <c r="D375" s="192" t="str">
        <f t="shared" ca="1" si="219"/>
        <v/>
      </c>
      <c r="E375" s="193" t="str">
        <f t="shared" ca="1" si="220"/>
        <v/>
      </c>
      <c r="F375" s="194">
        <f t="shared" ca="1" si="221"/>
        <v>49</v>
      </c>
      <c r="G375" s="14">
        <v>358</v>
      </c>
      <c r="H375" s="157">
        <f t="shared" ca="1" si="222"/>
        <v>0</v>
      </c>
      <c r="I375" s="16">
        <f t="shared" ca="1" si="223"/>
        <v>0</v>
      </c>
      <c r="J375" s="16">
        <f t="shared" ca="1" si="198"/>
        <v>0</v>
      </c>
      <c r="K375" s="158">
        <f t="shared" ca="1" si="199"/>
        <v>0</v>
      </c>
      <c r="L375" s="158">
        <f t="shared" ca="1" si="200"/>
        <v>0</v>
      </c>
      <c r="M375" s="15">
        <f t="shared" ca="1" si="201"/>
        <v>0</v>
      </c>
      <c r="N375" s="16">
        <f ca="1">IF(Y375=0, 0, ROUND(SUM(Y$17:Y375)-SUM(J$17:J375),0))</f>
        <v>0</v>
      </c>
      <c r="O375" s="16" t="str">
        <f t="shared" ca="1" si="202"/>
        <v/>
      </c>
      <c r="P375" s="16" t="str">
        <f t="shared" ca="1" si="203"/>
        <v/>
      </c>
      <c r="Q375" s="160">
        <f t="shared" ca="1" si="233"/>
        <v>5000000</v>
      </c>
      <c r="R375" s="160">
        <f t="shared" ca="1" si="233"/>
        <v>0</v>
      </c>
      <c r="S375" s="160">
        <f t="shared" ca="1" si="233"/>
        <v>358488</v>
      </c>
      <c r="T375" s="160">
        <f t="shared" ca="1" si="233"/>
        <v>628000</v>
      </c>
      <c r="U375" s="161" t="str">
        <f t="shared" ca="1" si="205"/>
        <v/>
      </c>
      <c r="V375" s="162">
        <f t="shared" ca="1" si="196"/>
        <v>0.57999999999999996</v>
      </c>
      <c r="W375" s="195">
        <f t="shared" ca="1" si="224"/>
        <v>0</v>
      </c>
      <c r="X375" s="158">
        <f t="shared" ca="1" si="206"/>
        <v>0</v>
      </c>
      <c r="Y375" s="16">
        <f t="shared" ca="1" si="207"/>
        <v>0</v>
      </c>
      <c r="Z375" s="164">
        <f t="shared" ca="1" si="208"/>
        <v>0</v>
      </c>
      <c r="AA375" s="272">
        <f t="shared" ca="1" si="225"/>
        <v>0.22</v>
      </c>
      <c r="AB375" s="16">
        <f t="shared" ca="1" si="209"/>
        <v>0</v>
      </c>
      <c r="AC375" s="16">
        <f t="shared" ca="1" si="210"/>
        <v>0</v>
      </c>
      <c r="AD375" s="197"/>
      <c r="AE375" s="274">
        <f t="shared" ca="1" si="211"/>
        <v>1.6821425527395739E-3</v>
      </c>
      <c r="AF375" s="166">
        <f t="shared" ca="1" si="212"/>
        <v>0.54824635359475393</v>
      </c>
      <c r="AG375" s="16">
        <f t="shared" ca="1" si="213"/>
        <v>0</v>
      </c>
      <c r="AH375" s="16">
        <f t="shared" ca="1" si="214"/>
        <v>0</v>
      </c>
      <c r="AI375" s="168">
        <f t="shared" ca="1" si="215"/>
        <v>0</v>
      </c>
      <c r="AJ375" s="158">
        <f t="shared" ca="1" si="216"/>
        <v>0</v>
      </c>
      <c r="AK375" s="16">
        <f t="shared" ca="1" si="217"/>
        <v>0</v>
      </c>
      <c r="AL375" s="168">
        <f t="shared" ca="1" si="226"/>
        <v>0</v>
      </c>
      <c r="AM375" s="158">
        <f t="shared" ca="1" si="227"/>
        <v>0</v>
      </c>
      <c r="AN375" s="158">
        <f t="shared" ca="1" si="228"/>
        <v>0</v>
      </c>
      <c r="AO375" s="169" t="e">
        <f t="shared" ca="1" si="229"/>
        <v>#DIV/0!</v>
      </c>
      <c r="AP375" s="169" t="e">
        <f t="shared" ca="1" si="230"/>
        <v>#NUM!</v>
      </c>
      <c r="AQ375" s="158">
        <f t="shared" ca="1" si="231"/>
        <v>0</v>
      </c>
      <c r="AR375" s="158">
        <f t="shared" ca="1" si="232"/>
        <v>0</v>
      </c>
      <c r="AS375" s="170"/>
      <c r="AT375" s="159"/>
      <c r="AU375" s="159"/>
    </row>
    <row r="376" spans="1:47" x14ac:dyDescent="0.6">
      <c r="A376" s="171" t="str">
        <f t="shared" ca="1" si="197"/>
        <v>November 2054</v>
      </c>
      <c r="B376" s="191">
        <v>0</v>
      </c>
      <c r="C376" s="269">
        <f t="shared" ca="1" si="218"/>
        <v>5.4899999999999997E-2</v>
      </c>
      <c r="D376" s="173" t="str">
        <f t="shared" ca="1" si="219"/>
        <v/>
      </c>
      <c r="E376" s="174" t="str">
        <f t="shared" ca="1" si="220"/>
        <v/>
      </c>
      <c r="F376" s="175">
        <f t="shared" ca="1" si="221"/>
        <v>49</v>
      </c>
      <c r="G376" s="10">
        <v>359</v>
      </c>
      <c r="H376" s="176">
        <f t="shared" ca="1" si="222"/>
        <v>0</v>
      </c>
      <c r="I376" s="12">
        <f t="shared" ca="1" si="223"/>
        <v>0</v>
      </c>
      <c r="J376" s="12">
        <f t="shared" ca="1" si="198"/>
        <v>0</v>
      </c>
      <c r="K376" s="177">
        <f t="shared" ca="1" si="199"/>
        <v>0</v>
      </c>
      <c r="L376" s="177">
        <f t="shared" ca="1" si="200"/>
        <v>0</v>
      </c>
      <c r="M376" s="11">
        <f t="shared" ca="1" si="201"/>
        <v>0</v>
      </c>
      <c r="N376" s="12">
        <f ca="1">IF(Y376=0, 0, ROUND(SUM(Y$17:Y376)-SUM(J$17:J376),0))</f>
        <v>0</v>
      </c>
      <c r="O376" s="12" t="str">
        <f t="shared" ca="1" si="202"/>
        <v/>
      </c>
      <c r="P376" s="12" t="str">
        <f t="shared" ca="1" si="203"/>
        <v/>
      </c>
      <c r="Q376" s="178">
        <f t="shared" ca="1" si="233"/>
        <v>5000000</v>
      </c>
      <c r="R376" s="178">
        <f t="shared" ca="1" si="233"/>
        <v>0</v>
      </c>
      <c r="S376" s="178">
        <f t="shared" ca="1" si="233"/>
        <v>358488</v>
      </c>
      <c r="T376" s="178">
        <f t="shared" ca="1" si="233"/>
        <v>628000</v>
      </c>
      <c r="U376" s="179" t="str">
        <f t="shared" ca="1" si="205"/>
        <v/>
      </c>
      <c r="V376" s="180">
        <f t="shared" ca="1" si="196"/>
        <v>0.57999999999999996</v>
      </c>
      <c r="W376" s="181">
        <f t="shared" ca="1" si="224"/>
        <v>0</v>
      </c>
      <c r="X376" s="177">
        <f t="shared" ca="1" si="206"/>
        <v>0</v>
      </c>
      <c r="Y376" s="12">
        <f t="shared" ca="1" si="207"/>
        <v>0</v>
      </c>
      <c r="Z376" s="182">
        <f t="shared" ca="1" si="208"/>
        <v>0</v>
      </c>
      <c r="AA376" s="271">
        <f t="shared" ca="1" si="225"/>
        <v>0.22</v>
      </c>
      <c r="AB376" s="12">
        <f t="shared" ca="1" si="209"/>
        <v>0</v>
      </c>
      <c r="AC376" s="12">
        <f t="shared" ca="1" si="210"/>
        <v>0</v>
      </c>
      <c r="AD376" s="199"/>
      <c r="AE376" s="273">
        <f t="shared" ca="1" si="211"/>
        <v>1.6821425527395739E-3</v>
      </c>
      <c r="AF376" s="184">
        <f t="shared" ca="1" si="212"/>
        <v>0.54732412507398787</v>
      </c>
      <c r="AG376" s="12">
        <f t="shared" ca="1" si="213"/>
        <v>0</v>
      </c>
      <c r="AH376" s="12">
        <f t="shared" ca="1" si="214"/>
        <v>0</v>
      </c>
      <c r="AI376" s="185">
        <f t="shared" ca="1" si="215"/>
        <v>0</v>
      </c>
      <c r="AJ376" s="177">
        <f t="shared" ca="1" si="216"/>
        <v>0</v>
      </c>
      <c r="AK376" s="12">
        <f t="shared" ca="1" si="217"/>
        <v>0</v>
      </c>
      <c r="AL376" s="185">
        <f t="shared" ca="1" si="226"/>
        <v>0</v>
      </c>
      <c r="AM376" s="177">
        <f t="shared" ca="1" si="227"/>
        <v>0</v>
      </c>
      <c r="AN376" s="177">
        <f t="shared" ca="1" si="228"/>
        <v>0</v>
      </c>
      <c r="AO376" s="196" t="e">
        <f t="shared" ca="1" si="229"/>
        <v>#DIV/0!</v>
      </c>
      <c r="AP376" s="196" t="e">
        <f t="shared" ca="1" si="230"/>
        <v>#NUM!</v>
      </c>
      <c r="AQ376" s="177">
        <f t="shared" ca="1" si="231"/>
        <v>0</v>
      </c>
      <c r="AR376" s="177">
        <f t="shared" ca="1" si="232"/>
        <v>0</v>
      </c>
      <c r="AS376" s="189"/>
      <c r="AT376" s="190"/>
      <c r="AU376" s="190"/>
    </row>
    <row r="377" spans="1:47" x14ac:dyDescent="0.6">
      <c r="A377" s="152" t="str">
        <f t="shared" ca="1" si="197"/>
        <v>Desember 2054</v>
      </c>
      <c r="B377" s="191">
        <v>0</v>
      </c>
      <c r="C377" s="270">
        <f t="shared" ca="1" si="218"/>
        <v>5.4899999999999997E-2</v>
      </c>
      <c r="D377" s="192" t="str">
        <f t="shared" ca="1" si="219"/>
        <v/>
      </c>
      <c r="E377" s="193" t="str">
        <f t="shared" ca="1" si="220"/>
        <v/>
      </c>
      <c r="F377" s="194">
        <f t="shared" ca="1" si="221"/>
        <v>49</v>
      </c>
      <c r="G377" s="14">
        <v>360</v>
      </c>
      <c r="H377" s="157">
        <f t="shared" ca="1" si="222"/>
        <v>0</v>
      </c>
      <c r="I377" s="16">
        <f t="shared" ca="1" si="223"/>
        <v>0</v>
      </c>
      <c r="J377" s="16">
        <f t="shared" ca="1" si="198"/>
        <v>0</v>
      </c>
      <c r="K377" s="158">
        <f t="shared" ca="1" si="199"/>
        <v>0</v>
      </c>
      <c r="L377" s="158">
        <f t="shared" ca="1" si="200"/>
        <v>0</v>
      </c>
      <c r="M377" s="15">
        <f t="shared" ca="1" si="201"/>
        <v>0</v>
      </c>
      <c r="N377" s="16">
        <f ca="1">IF(Y377=0, 0, ROUND(SUM(Y$17:Y377)-SUM(J$17:J377),0))</f>
        <v>0</v>
      </c>
      <c r="O377" s="16" t="str">
        <f t="shared" ca="1" si="202"/>
        <v/>
      </c>
      <c r="P377" s="16" t="str">
        <f t="shared" ca="1" si="203"/>
        <v/>
      </c>
      <c r="Q377" s="160">
        <f t="shared" ca="1" si="233"/>
        <v>5000000</v>
      </c>
      <c r="R377" s="160">
        <f t="shared" ca="1" si="233"/>
        <v>0</v>
      </c>
      <c r="S377" s="160">
        <f t="shared" ca="1" si="233"/>
        <v>358488</v>
      </c>
      <c r="T377" s="160">
        <f t="shared" ca="1" si="233"/>
        <v>628000</v>
      </c>
      <c r="U377" s="161" t="str">
        <f t="shared" ca="1" si="205"/>
        <v/>
      </c>
      <c r="V377" s="162">
        <f t="shared" ca="1" si="196"/>
        <v>0.57999999999999996</v>
      </c>
      <c r="W377" s="195">
        <f t="shared" ca="1" si="224"/>
        <v>0</v>
      </c>
      <c r="X377" s="158">
        <f t="shared" ca="1" si="206"/>
        <v>0</v>
      </c>
      <c r="Y377" s="16">
        <f t="shared" ca="1" si="207"/>
        <v>0</v>
      </c>
      <c r="Z377" s="164">
        <f t="shared" ca="1" si="208"/>
        <v>0</v>
      </c>
      <c r="AA377" s="272">
        <f t="shared" ca="1" si="225"/>
        <v>0.22</v>
      </c>
      <c r="AB377" s="16">
        <f t="shared" ca="1" si="209"/>
        <v>0</v>
      </c>
      <c r="AC377" s="16">
        <f t="shared" ca="1" si="210"/>
        <v>0</v>
      </c>
      <c r="AD377" s="197"/>
      <c r="AE377" s="274">
        <f t="shared" ca="1" si="211"/>
        <v>1.6821425527395739E-3</v>
      </c>
      <c r="AF377" s="166">
        <f t="shared" ca="1" si="212"/>
        <v>0.54640344787305994</v>
      </c>
      <c r="AG377" s="16">
        <f t="shared" ca="1" si="213"/>
        <v>0</v>
      </c>
      <c r="AH377" s="16">
        <f t="shared" ca="1" si="214"/>
        <v>0</v>
      </c>
      <c r="AI377" s="168">
        <f t="shared" ca="1" si="215"/>
        <v>0</v>
      </c>
      <c r="AJ377" s="158">
        <f t="shared" ca="1" si="216"/>
        <v>0</v>
      </c>
      <c r="AK377" s="16">
        <f t="shared" ca="1" si="217"/>
        <v>0</v>
      </c>
      <c r="AL377" s="168">
        <f t="shared" ca="1" si="226"/>
        <v>0</v>
      </c>
      <c r="AM377" s="158">
        <f t="shared" ca="1" si="227"/>
        <v>0</v>
      </c>
      <c r="AN377" s="158">
        <f t="shared" ca="1" si="228"/>
        <v>0</v>
      </c>
      <c r="AO377" s="169" t="e">
        <f t="shared" ca="1" si="229"/>
        <v>#DIV/0!</v>
      </c>
      <c r="AP377" s="169" t="e">
        <f t="shared" ca="1" si="230"/>
        <v>#NUM!</v>
      </c>
      <c r="AQ377" s="158">
        <f t="shared" ca="1" si="231"/>
        <v>0</v>
      </c>
      <c r="AR377" s="158">
        <f t="shared" ca="1" si="232"/>
        <v>0</v>
      </c>
      <c r="AS377" s="170"/>
      <c r="AT377" s="159"/>
      <c r="AU377" s="159"/>
    </row>
    <row r="378" spans="1:47" x14ac:dyDescent="0.6">
      <c r="A378" s="203"/>
      <c r="B378" s="204"/>
      <c r="C378" s="205"/>
      <c r="D378" s="206"/>
      <c r="E378" s="207"/>
      <c r="F378" s="207"/>
      <c r="G378" s="208"/>
      <c r="H378" s="209"/>
      <c r="I378" s="210"/>
      <c r="J378" s="204"/>
      <c r="K378" s="211"/>
      <c r="L378" s="211"/>
      <c r="M378" s="212"/>
      <c r="N378" s="210"/>
      <c r="O378" s="213"/>
      <c r="P378" s="214"/>
      <c r="Q378" s="204"/>
      <c r="R378" s="204"/>
      <c r="S378" s="204"/>
      <c r="T378" s="204"/>
      <c r="U378" s="215"/>
      <c r="V378" s="215"/>
      <c r="W378" s="216"/>
      <c r="X378" s="216"/>
      <c r="Y378" s="216"/>
      <c r="Z378" s="217"/>
      <c r="AA378" s="218"/>
      <c r="AB378" s="215"/>
      <c r="AC378" s="215"/>
      <c r="AD378" s="218"/>
      <c r="AE378" s="219"/>
      <c r="AF378" s="215"/>
      <c r="AG378" s="215"/>
      <c r="AH378" s="215"/>
      <c r="AI378" s="215"/>
      <c r="AJ378" s="215"/>
      <c r="AK378" s="215"/>
      <c r="AL378" s="215"/>
      <c r="AM378" s="215"/>
      <c r="AN378" s="215"/>
      <c r="AO378" s="220"/>
      <c r="AP378" s="220"/>
      <c r="AQ378" s="215"/>
      <c r="AR378" s="215"/>
      <c r="AS378" s="215"/>
      <c r="AT378" s="215"/>
      <c r="AU378" s="215"/>
    </row>
    <row r="379" spans="1:47" x14ac:dyDescent="0.6">
      <c r="A379" s="4"/>
      <c r="B379" s="64"/>
      <c r="C379" s="65"/>
      <c r="D379" s="221"/>
      <c r="E379" s="222"/>
      <c r="F379" s="222"/>
      <c r="G379" s="23"/>
      <c r="H379" s="223"/>
      <c r="I379" s="91"/>
      <c r="J379" s="64"/>
      <c r="K379" s="40"/>
      <c r="L379" s="40"/>
      <c r="M379" s="53"/>
      <c r="N379" s="91"/>
      <c r="O379" s="38"/>
      <c r="P379" s="224"/>
      <c r="Q379" s="64"/>
      <c r="R379" s="64"/>
      <c r="S379" s="64"/>
      <c r="T379" s="64"/>
      <c r="U379" s="225"/>
      <c r="V379" s="225"/>
      <c r="W379" s="95"/>
      <c r="X379" s="95"/>
      <c r="Y379" s="95"/>
      <c r="Z379" s="226"/>
      <c r="AA379" s="60"/>
      <c r="AB379" s="225"/>
      <c r="AC379" s="225"/>
      <c r="AD379" s="60"/>
      <c r="AE379" s="227"/>
      <c r="AF379" s="225"/>
      <c r="AG379" s="225"/>
      <c r="AH379" s="225"/>
      <c r="AI379" s="225"/>
      <c r="AJ379" s="225"/>
      <c r="AK379" s="225"/>
      <c r="AL379" s="225"/>
      <c r="AM379" s="225"/>
      <c r="AN379" s="225"/>
      <c r="AO379" s="228"/>
      <c r="AP379" s="228"/>
      <c r="AQ379" s="225"/>
      <c r="AR379" s="225"/>
      <c r="AS379" s="225"/>
      <c r="AT379" s="225"/>
      <c r="AU379" s="225"/>
    </row>
    <row r="380" spans="1:47" x14ac:dyDescent="0.6">
      <c r="A380" s="4"/>
      <c r="B380" s="64"/>
      <c r="C380" s="65"/>
      <c r="D380" s="221"/>
      <c r="E380" s="222"/>
      <c r="F380" s="222"/>
      <c r="G380" s="23"/>
      <c r="H380" s="223"/>
      <c r="I380" s="91"/>
      <c r="K380" s="229"/>
      <c r="L380" s="40"/>
      <c r="M380" s="53"/>
      <c r="N380" s="91"/>
      <c r="O380" s="38"/>
      <c r="P380" s="229"/>
      <c r="Q380" s="4"/>
      <c r="R380" s="4"/>
      <c r="S380" s="4"/>
      <c r="T380" s="4"/>
      <c r="U380" s="230"/>
      <c r="V380" s="230"/>
      <c r="W380" s="229"/>
      <c r="X380" s="229"/>
      <c r="Y380" s="229"/>
      <c r="Z380" s="231"/>
      <c r="AA380" s="232"/>
      <c r="AB380" s="230"/>
      <c r="AC380" s="230"/>
      <c r="AD380" s="232"/>
      <c r="AE380" s="233"/>
      <c r="AF380" s="230"/>
      <c r="AG380" s="230"/>
      <c r="AH380" s="230"/>
      <c r="AI380" s="230"/>
      <c r="AJ380" s="230"/>
      <c r="AK380" s="230"/>
      <c r="AL380" s="230"/>
      <c r="AM380" s="230"/>
      <c r="AN380" s="230"/>
      <c r="AO380" s="234"/>
      <c r="AP380" s="234"/>
      <c r="AQ380" s="230"/>
      <c r="AR380" s="230"/>
      <c r="AS380" s="230"/>
      <c r="AT380" s="230"/>
      <c r="AU380" s="230"/>
    </row>
    <row r="381" spans="1:47" x14ac:dyDescent="0.6">
      <c r="A381" s="235"/>
      <c r="B381" s="236"/>
      <c r="C381" s="237"/>
      <c r="D381" s="238"/>
      <c r="E381" s="239"/>
      <c r="F381" s="239"/>
      <c r="G381" s="240"/>
      <c r="H381" s="241"/>
      <c r="I381" s="242"/>
      <c r="J381" s="236"/>
      <c r="K381" s="243"/>
      <c r="L381" s="243"/>
      <c r="M381" s="244"/>
      <c r="N381" s="242"/>
      <c r="O381" s="108"/>
      <c r="P381" s="245"/>
      <c r="Q381" s="236"/>
      <c r="R381" s="236"/>
      <c r="S381" s="236"/>
      <c r="T381" s="236"/>
      <c r="U381" s="246"/>
      <c r="V381" s="246"/>
      <c r="W381" s="105"/>
      <c r="X381" s="105"/>
      <c r="Y381" s="105"/>
      <c r="Z381" s="247"/>
      <c r="AA381" s="247"/>
      <c r="AB381" s="246"/>
      <c r="AC381" s="246"/>
      <c r="AD381" s="247"/>
      <c r="AE381" s="248"/>
      <c r="AF381" s="246"/>
      <c r="AG381" s="246"/>
      <c r="AH381" s="246"/>
      <c r="AI381" s="246"/>
      <c r="AJ381" s="246"/>
      <c r="AK381" s="246"/>
      <c r="AL381" s="246"/>
      <c r="AM381" s="246"/>
      <c r="AN381" s="246"/>
      <c r="AO381" s="249"/>
      <c r="AP381" s="249"/>
      <c r="AQ381" s="246"/>
      <c r="AR381" s="246"/>
      <c r="AS381" s="246"/>
      <c r="AT381" s="246"/>
      <c r="AU381" s="246"/>
    </row>
  </sheetData>
  <mergeCells count="54">
    <mergeCell ref="AB15:AB16"/>
    <mergeCell ref="AC15:AC16"/>
    <mergeCell ref="AD15:AH15"/>
    <mergeCell ref="AJ15:AJ16"/>
    <mergeCell ref="AK15:AK16"/>
    <mergeCell ref="T15:T16"/>
    <mergeCell ref="U15:U16"/>
    <mergeCell ref="V15:V16"/>
    <mergeCell ref="X15:X16"/>
    <mergeCell ref="AA15:AA16"/>
    <mergeCell ref="AI14:AJ14"/>
    <mergeCell ref="AL14:AS15"/>
    <mergeCell ref="AT14:AT15"/>
    <mergeCell ref="AU14:AU15"/>
    <mergeCell ref="D15:D16"/>
    <mergeCell ref="E15:E16"/>
    <mergeCell ref="F15:F16"/>
    <mergeCell ref="G15:G16"/>
    <mergeCell ref="H15:H16"/>
    <mergeCell ref="I15:I16"/>
    <mergeCell ref="M15:M16"/>
    <mergeCell ref="N15:N16"/>
    <mergeCell ref="O15:O16"/>
    <mergeCell ref="P15:P16"/>
    <mergeCell ref="Q15:R15"/>
    <mergeCell ref="S15:S16"/>
    <mergeCell ref="AA12:AA13"/>
    <mergeCell ref="AD12:AD13"/>
    <mergeCell ref="H14:L14"/>
    <mergeCell ref="W14:Z14"/>
    <mergeCell ref="AA14:AH14"/>
    <mergeCell ref="E8:G8"/>
    <mergeCell ref="M8:N8"/>
    <mergeCell ref="E9:G9"/>
    <mergeCell ref="M9:N9"/>
    <mergeCell ref="E10:G10"/>
    <mergeCell ref="M10:N10"/>
    <mergeCell ref="E6:G6"/>
    <mergeCell ref="H6:I6"/>
    <mergeCell ref="M6:N6"/>
    <mergeCell ref="E7:G7"/>
    <mergeCell ref="M7:N7"/>
    <mergeCell ref="E4:G4"/>
    <mergeCell ref="H4:I4"/>
    <mergeCell ref="M4:N4"/>
    <mergeCell ref="E5:G5"/>
    <mergeCell ref="H5:I5"/>
    <mergeCell ref="M5:N5"/>
    <mergeCell ref="E2:G2"/>
    <mergeCell ref="H2:I2"/>
    <mergeCell ref="M2:N2"/>
    <mergeCell ref="E3:G3"/>
    <mergeCell ref="H3:I3"/>
    <mergeCell ref="M3:N3"/>
  </mergeCells>
  <dataValidations count="5">
    <dataValidation type="list" operator="equal" showErrorMessage="1" sqref="E2" xr:uid="{00000000-0002-0000-0100-000000000000}">
      <formula1>"Annuitetslån,Serielån"</formula1>
      <formula2>0</formula2>
    </dataValidation>
    <dataValidation type="list" operator="equal" showErrorMessage="1" sqref="P3" xr:uid="{00000000-0002-0000-0100-000001000000}">
      <formula1>"Ja,Nei,"</formula1>
      <formula2>0</formula2>
    </dataValidation>
    <dataValidation type="list" operator="equal" showErrorMessage="1" sqref="E6:E7" xr:uid="{00000000-0002-0000-0100-000002000000}">
      <formula1>"Ja (anbefalt),Nei"</formula1>
      <formula2>0</formula2>
    </dataValidation>
    <dataValidation type="list" operator="equal" showErrorMessage="1" sqref="E8" xr:uid="{00000000-0002-0000-0100-000004000000}">
      <formula1>"Terminbeløp,Nedbetalingstid"</formula1>
      <formula2>0</formula2>
    </dataValidation>
    <dataValidation type="list" operator="equal" showErrorMessage="1" sqref="E10" xr:uid="{00000000-0002-0000-0100-000005000000}">
      <formula1>"Ja,Nei"</formula1>
      <formula2>0</formula2>
    </dataValidation>
  </dataValidations>
  <hyperlinks>
    <hyperlink ref="AD16" r:id="rId1" display="KPI-JAE" xr:uid="{00000000-0004-0000-0100-000000000000}"/>
  </hyperlinks>
  <pageMargins left="0.78749999999999998" right="0.78749999999999998" top="1.0249999999999999" bottom="1.0249999999999999" header="0.78749999999999998" footer="0.78749999999999998"/>
  <pageSetup paperSize="9" firstPageNumber="0" orientation="landscape" horizontalDpi="300" verticalDpi="300"/>
  <headerFooter>
    <oddHeader>&amp;C&amp;A</oddHeader>
    <oddFooter>&amp;CSide &amp;P</oddFooter>
  </headerFooter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48"/>
  <sheetViews>
    <sheetView zoomScaleNormal="100" workbookViewId="0"/>
  </sheetViews>
  <sheetFormatPr baseColWidth="10" defaultColWidth="8.86328125" defaultRowHeight="13" x14ac:dyDescent="0.6"/>
  <cols>
    <col min="1" max="1025" width="11.54296875"/>
  </cols>
  <sheetData>
    <row r="1" spans="1:256" x14ac:dyDescent="0.6">
      <c r="A1" s="250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</row>
    <row r="2" spans="1:256" x14ac:dyDescent="0.6">
      <c r="A2" s="316" t="s">
        <v>132</v>
      </c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</row>
    <row r="3" spans="1:256" x14ac:dyDescent="0.6">
      <c r="A3" s="317" t="s">
        <v>133</v>
      </c>
      <c r="B3" s="317"/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  <row r="4" spans="1:256" x14ac:dyDescent="0.6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</row>
    <row r="5" spans="1:256" x14ac:dyDescent="0.6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spans="1:256" x14ac:dyDescent="0.6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spans="1:256" x14ac:dyDescent="0.6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pans="1:256" x14ac:dyDescent="0.6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pans="1:256" x14ac:dyDescent="0.6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pans="1:256" x14ac:dyDescent="0.6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pans="1:256" x14ac:dyDescent="0.6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spans="1:256" x14ac:dyDescent="0.6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</row>
    <row r="13" spans="1:256" x14ac:dyDescent="0.6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spans="1:256" x14ac:dyDescent="0.6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</row>
    <row r="15" spans="1:256" x14ac:dyDescent="0.6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</row>
    <row r="16" spans="1:256" x14ac:dyDescent="0.6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</row>
    <row r="17" spans="1:256" x14ac:dyDescent="0.6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</row>
    <row r="18" spans="1:256" x14ac:dyDescent="0.6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</row>
    <row r="19" spans="1:256" x14ac:dyDescent="0.6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</row>
    <row r="20" spans="1:256" x14ac:dyDescent="0.6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</row>
    <row r="21" spans="1:256" x14ac:dyDescent="0.6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</row>
    <row r="22" spans="1:256" x14ac:dyDescent="0.6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</row>
    <row r="23" spans="1:256" x14ac:dyDescent="0.6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</row>
    <row r="24" spans="1:256" x14ac:dyDescent="0.6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</row>
    <row r="25" spans="1:256" x14ac:dyDescent="0.6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</row>
    <row r="26" spans="1:256" x14ac:dyDescent="0.6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</row>
    <row r="27" spans="1:256" x14ac:dyDescent="0.6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</row>
    <row r="28" spans="1:256" x14ac:dyDescent="0.6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</row>
    <row r="29" spans="1:256" x14ac:dyDescent="0.6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</row>
    <row r="30" spans="1:256" x14ac:dyDescent="0.6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</row>
    <row r="31" spans="1:256" x14ac:dyDescent="0.6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</row>
    <row r="32" spans="1:256" x14ac:dyDescent="0.6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</row>
    <row r="33" spans="1:256" x14ac:dyDescent="0.6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</row>
    <row r="34" spans="1:256" x14ac:dyDescent="0.6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</row>
    <row r="35" spans="1:256" x14ac:dyDescent="0.6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</row>
    <row r="36" spans="1:256" x14ac:dyDescent="0.6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</row>
    <row r="37" spans="1:256" x14ac:dyDescent="0.6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</row>
    <row r="38" spans="1:256" x14ac:dyDescent="0.6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</row>
    <row r="39" spans="1:256" x14ac:dyDescent="0.6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</row>
    <row r="40" spans="1:256" x14ac:dyDescent="0.6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</row>
    <row r="41" spans="1:256" x14ac:dyDescent="0.6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</row>
    <row r="42" spans="1:256" x14ac:dyDescent="0.6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</row>
    <row r="43" spans="1:256" x14ac:dyDescent="0.6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</row>
    <row r="44" spans="1:256" x14ac:dyDescent="0.6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</row>
    <row r="45" spans="1:256" x14ac:dyDescent="0.6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</row>
    <row r="46" spans="1:256" x14ac:dyDescent="0.6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</row>
    <row r="47" spans="1:256" x14ac:dyDescent="0.6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</row>
    <row r="48" spans="1:256" x14ac:dyDescent="0.6">
      <c r="A48" s="250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</row>
  </sheetData>
  <mergeCells count="2">
    <mergeCell ref="A2:N2"/>
    <mergeCell ref="A3:N3"/>
  </mergeCells>
  <pageMargins left="0.78749999999999998" right="0.78749999999999998" top="1.0249999999999999" bottom="1.0249999999999999" header="0.78749999999999998" footer="0.78749999999999998"/>
  <pageSetup paperSize="9" firstPageNumber="0" orientation="landscape" horizontalDpi="300" verticalDpi="300"/>
  <headerFooter>
    <oddHeader>&amp;C&amp;A</oddHeader>
    <oddFooter>&amp;CSide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"/>
  <sheetViews>
    <sheetView zoomScaleNormal="100" workbookViewId="0"/>
  </sheetViews>
  <sheetFormatPr baseColWidth="10" defaultColWidth="8.86328125" defaultRowHeight="13" x14ac:dyDescent="0.6"/>
  <cols>
    <col min="1" max="1025" width="11.54296875"/>
  </cols>
  <sheetData>
    <row r="1" spans="1:256" x14ac:dyDescent="0.6">
      <c r="A1" s="4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</row>
    <row r="2" spans="1:256" x14ac:dyDescent="0.6">
      <c r="A2" s="316" t="s">
        <v>134</v>
      </c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316"/>
      <c r="O2" s="316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</row>
    <row r="3" spans="1:256" x14ac:dyDescent="0.6">
      <c r="A3" s="317" t="s">
        <v>133</v>
      </c>
      <c r="B3" s="317"/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317"/>
      <c r="N3" s="317"/>
      <c r="O3" s="317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</sheetData>
  <mergeCells count="2">
    <mergeCell ref="A2:O2"/>
    <mergeCell ref="A3:O3"/>
  </mergeCells>
  <pageMargins left="0.78749999999999998" right="0.78749999999999998" top="1.0249999999999999" bottom="1.0249999999999999" header="0.78749999999999998" footer="0.78749999999999998"/>
  <pageSetup paperSize="9" firstPageNumber="0" orientation="landscape" horizontalDpi="300" verticalDpi="300"/>
  <headerFooter>
    <oddHeader>&amp;C&amp;A</oddHeader>
    <oddFooter>&amp;CSide &amp;P</oddFooter>
  </headerFooter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48"/>
  <sheetViews>
    <sheetView zoomScaleNormal="100" workbookViewId="0"/>
  </sheetViews>
  <sheetFormatPr baseColWidth="10" defaultColWidth="8.86328125" defaultRowHeight="13" x14ac:dyDescent="0.6"/>
  <cols>
    <col min="1" max="1025" width="11.54296875"/>
  </cols>
  <sheetData>
    <row r="1" spans="1:256" x14ac:dyDescent="0.6">
      <c r="A1" s="250"/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  <c r="EK1" s="4"/>
      <c r="EL1" s="4"/>
      <c r="EM1" s="4"/>
      <c r="EN1" s="4"/>
      <c r="EO1" s="4"/>
      <c r="EP1" s="4"/>
      <c r="EQ1" s="4"/>
      <c r="ER1" s="4"/>
      <c r="ES1" s="4"/>
      <c r="ET1" s="4"/>
      <c r="EU1" s="4"/>
      <c r="EV1" s="4"/>
      <c r="EW1" s="4"/>
      <c r="EX1" s="4"/>
      <c r="EY1" s="4"/>
      <c r="EZ1" s="4"/>
      <c r="FA1" s="4"/>
      <c r="FB1" s="4"/>
      <c r="FC1" s="4"/>
      <c r="FD1" s="4"/>
      <c r="FE1" s="4"/>
      <c r="FF1" s="4"/>
      <c r="FG1" s="4"/>
      <c r="FH1" s="4"/>
      <c r="FI1" s="4"/>
      <c r="FJ1" s="4"/>
      <c r="FK1" s="4"/>
      <c r="FL1" s="4"/>
      <c r="FM1" s="4"/>
      <c r="FN1" s="4"/>
      <c r="FO1" s="4"/>
      <c r="FP1" s="4"/>
      <c r="FQ1" s="4"/>
      <c r="FR1" s="4"/>
      <c r="FS1" s="4"/>
      <c r="FT1" s="4"/>
      <c r="FU1" s="4"/>
      <c r="FV1" s="4"/>
      <c r="FW1" s="4"/>
      <c r="FX1" s="4"/>
      <c r="FY1" s="4"/>
      <c r="FZ1" s="4"/>
      <c r="GA1" s="4"/>
      <c r="GB1" s="4"/>
      <c r="GC1" s="4"/>
      <c r="GD1" s="4"/>
      <c r="GE1" s="4"/>
      <c r="GF1" s="4"/>
      <c r="GG1" s="4"/>
      <c r="GH1" s="4"/>
      <c r="GI1" s="4"/>
      <c r="GJ1" s="4"/>
      <c r="GK1" s="4"/>
      <c r="GL1" s="4"/>
      <c r="GM1" s="4"/>
      <c r="GN1" s="4"/>
      <c r="GO1" s="4"/>
      <c r="GP1" s="4"/>
      <c r="GQ1" s="4"/>
      <c r="GR1" s="4"/>
      <c r="GS1" s="4"/>
      <c r="GT1" s="4"/>
      <c r="GU1" s="4"/>
      <c r="GV1" s="4"/>
      <c r="GW1" s="4"/>
      <c r="GX1" s="4"/>
      <c r="GY1" s="4"/>
      <c r="GZ1" s="4"/>
      <c r="HA1" s="4"/>
      <c r="HB1" s="4"/>
      <c r="HC1" s="4"/>
      <c r="HD1" s="4"/>
      <c r="HE1" s="4"/>
      <c r="HF1" s="4"/>
      <c r="HG1" s="4"/>
      <c r="HH1" s="4"/>
      <c r="HI1" s="4"/>
      <c r="HJ1" s="4"/>
      <c r="HK1" s="4"/>
      <c r="HL1" s="4"/>
      <c r="HM1" s="4"/>
      <c r="HN1" s="4"/>
      <c r="HO1" s="4"/>
      <c r="HP1" s="4"/>
      <c r="HQ1" s="4"/>
      <c r="HR1" s="4"/>
      <c r="HS1" s="4"/>
      <c r="HT1" s="4"/>
      <c r="HU1" s="4"/>
      <c r="HV1" s="4"/>
      <c r="HW1" s="4"/>
      <c r="HX1" s="4"/>
      <c r="HY1" s="4"/>
      <c r="HZ1" s="4"/>
      <c r="IA1" s="4"/>
      <c r="IB1" s="4"/>
      <c r="IC1" s="4"/>
      <c r="ID1" s="4"/>
      <c r="IE1" s="4"/>
      <c r="IF1" s="4"/>
      <c r="IG1" s="4"/>
      <c r="IH1" s="4"/>
      <c r="II1" s="4"/>
      <c r="IJ1" s="4"/>
      <c r="IK1" s="4"/>
      <c r="IL1" s="4"/>
      <c r="IM1" s="4"/>
      <c r="IN1" s="4"/>
      <c r="IO1" s="4"/>
      <c r="IP1" s="4"/>
      <c r="IQ1" s="4"/>
      <c r="IR1" s="4"/>
      <c r="IS1" s="4"/>
      <c r="IT1" s="4"/>
      <c r="IU1" s="4"/>
      <c r="IV1" s="4"/>
    </row>
    <row r="2" spans="1:256" x14ac:dyDescent="0.6">
      <c r="A2" s="316" t="s">
        <v>135</v>
      </c>
      <c r="B2" s="316"/>
      <c r="C2" s="316"/>
      <c r="D2" s="316"/>
      <c r="E2" s="316"/>
      <c r="F2" s="316"/>
      <c r="G2" s="316"/>
      <c r="H2" s="316"/>
      <c r="I2" s="316"/>
      <c r="J2" s="316"/>
      <c r="K2" s="316"/>
      <c r="L2" s="316"/>
      <c r="M2" s="316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4"/>
      <c r="AZ2" s="4"/>
      <c r="BA2" s="4"/>
      <c r="BB2" s="4"/>
      <c r="BC2" s="4"/>
      <c r="BD2" s="4"/>
      <c r="BE2" s="4"/>
      <c r="BF2" s="4"/>
      <c r="BG2" s="4"/>
      <c r="BH2" s="4"/>
      <c r="BI2" s="4"/>
      <c r="BJ2" s="4"/>
      <c r="BK2" s="4"/>
      <c r="BL2" s="4"/>
      <c r="BM2" s="4"/>
      <c r="BN2" s="4"/>
      <c r="BO2" s="4"/>
      <c r="BP2" s="4"/>
      <c r="BQ2" s="4"/>
      <c r="BR2" s="4"/>
      <c r="BS2" s="4"/>
      <c r="BT2" s="4"/>
      <c r="BU2" s="4"/>
      <c r="BV2" s="4"/>
      <c r="BW2" s="4"/>
      <c r="BX2" s="4"/>
      <c r="BY2" s="4"/>
      <c r="BZ2" s="4"/>
      <c r="CA2" s="4"/>
      <c r="CB2" s="4"/>
      <c r="CC2" s="4"/>
      <c r="CD2" s="4"/>
      <c r="CE2" s="4"/>
      <c r="CF2" s="4"/>
      <c r="CG2" s="4"/>
      <c r="CH2" s="4"/>
      <c r="CI2" s="4"/>
      <c r="CJ2" s="4"/>
      <c r="CK2" s="4"/>
      <c r="CL2" s="4"/>
      <c r="CM2" s="4"/>
      <c r="CN2" s="4"/>
      <c r="CO2" s="4"/>
      <c r="CP2" s="4"/>
      <c r="CQ2" s="4"/>
      <c r="CR2" s="4"/>
      <c r="CS2" s="4"/>
      <c r="CT2" s="4"/>
      <c r="CU2" s="4"/>
      <c r="CV2" s="4"/>
      <c r="CW2" s="4"/>
      <c r="CX2" s="4"/>
      <c r="CY2" s="4"/>
      <c r="CZ2" s="4"/>
      <c r="DA2" s="4"/>
      <c r="DB2" s="4"/>
      <c r="DC2" s="4"/>
      <c r="DD2" s="4"/>
      <c r="DE2" s="4"/>
      <c r="DF2" s="4"/>
      <c r="DG2" s="4"/>
      <c r="DH2" s="4"/>
      <c r="DI2" s="4"/>
      <c r="DJ2" s="4"/>
      <c r="DK2" s="4"/>
      <c r="DL2" s="4"/>
      <c r="DM2" s="4"/>
      <c r="DN2" s="4"/>
      <c r="DO2" s="4"/>
      <c r="DP2" s="4"/>
      <c r="DQ2" s="4"/>
      <c r="DR2" s="4"/>
      <c r="DS2" s="4"/>
      <c r="DT2" s="4"/>
      <c r="DU2" s="4"/>
      <c r="DV2" s="4"/>
      <c r="DW2" s="4"/>
      <c r="DX2" s="4"/>
      <c r="DY2" s="4"/>
      <c r="DZ2" s="4"/>
      <c r="EA2" s="4"/>
      <c r="EB2" s="4"/>
      <c r="EC2" s="4"/>
      <c r="ED2" s="4"/>
      <c r="EE2" s="4"/>
      <c r="EF2" s="4"/>
      <c r="EG2" s="4"/>
      <c r="EH2" s="4"/>
      <c r="EI2" s="4"/>
      <c r="EJ2" s="4"/>
      <c r="EK2" s="4"/>
      <c r="EL2" s="4"/>
      <c r="EM2" s="4"/>
      <c r="EN2" s="4"/>
      <c r="EO2" s="4"/>
      <c r="EP2" s="4"/>
      <c r="EQ2" s="4"/>
      <c r="ER2" s="4"/>
      <c r="ES2" s="4"/>
      <c r="ET2" s="4"/>
      <c r="EU2" s="4"/>
      <c r="EV2" s="4"/>
      <c r="EW2" s="4"/>
      <c r="EX2" s="4"/>
      <c r="EY2" s="4"/>
      <c r="EZ2" s="4"/>
      <c r="FA2" s="4"/>
      <c r="FB2" s="4"/>
      <c r="FC2" s="4"/>
      <c r="FD2" s="4"/>
      <c r="FE2" s="4"/>
      <c r="FF2" s="4"/>
      <c r="FG2" s="4"/>
      <c r="FH2" s="4"/>
      <c r="FI2" s="4"/>
      <c r="FJ2" s="4"/>
      <c r="FK2" s="4"/>
      <c r="FL2" s="4"/>
      <c r="FM2" s="4"/>
      <c r="FN2" s="4"/>
      <c r="FO2" s="4"/>
      <c r="FP2" s="4"/>
      <c r="FQ2" s="4"/>
      <c r="FR2" s="4"/>
      <c r="FS2" s="4"/>
      <c r="FT2" s="4"/>
      <c r="FU2" s="4"/>
      <c r="FV2" s="4"/>
      <c r="FW2" s="4"/>
      <c r="FX2" s="4"/>
      <c r="FY2" s="4"/>
      <c r="FZ2" s="4"/>
      <c r="GA2" s="4"/>
      <c r="GB2" s="4"/>
      <c r="GC2" s="4"/>
      <c r="GD2" s="4"/>
      <c r="GE2" s="4"/>
      <c r="GF2" s="4"/>
      <c r="GG2" s="4"/>
      <c r="GH2" s="4"/>
      <c r="GI2" s="4"/>
      <c r="GJ2" s="4"/>
      <c r="GK2" s="4"/>
      <c r="GL2" s="4"/>
      <c r="GM2" s="4"/>
      <c r="GN2" s="4"/>
      <c r="GO2" s="4"/>
      <c r="GP2" s="4"/>
      <c r="GQ2" s="4"/>
      <c r="GR2" s="4"/>
      <c r="GS2" s="4"/>
      <c r="GT2" s="4"/>
      <c r="GU2" s="4"/>
      <c r="GV2" s="4"/>
      <c r="GW2" s="4"/>
      <c r="GX2" s="4"/>
      <c r="GY2" s="4"/>
      <c r="GZ2" s="4"/>
      <c r="HA2" s="4"/>
      <c r="HB2" s="4"/>
      <c r="HC2" s="4"/>
      <c r="HD2" s="4"/>
      <c r="HE2" s="4"/>
      <c r="HF2" s="4"/>
      <c r="HG2" s="4"/>
      <c r="HH2" s="4"/>
      <c r="HI2" s="4"/>
      <c r="HJ2" s="4"/>
      <c r="HK2" s="4"/>
      <c r="HL2" s="4"/>
      <c r="HM2" s="4"/>
      <c r="HN2" s="4"/>
      <c r="HO2" s="4"/>
      <c r="HP2" s="4"/>
      <c r="HQ2" s="4"/>
      <c r="HR2" s="4"/>
      <c r="HS2" s="4"/>
      <c r="HT2" s="4"/>
      <c r="HU2" s="4"/>
      <c r="HV2" s="4"/>
      <c r="HW2" s="4"/>
      <c r="HX2" s="4"/>
      <c r="HY2" s="4"/>
      <c r="HZ2" s="4"/>
      <c r="IA2" s="4"/>
      <c r="IB2" s="4"/>
      <c r="IC2" s="4"/>
      <c r="ID2" s="4"/>
      <c r="IE2" s="4"/>
      <c r="IF2" s="4"/>
      <c r="IG2" s="4"/>
      <c r="IH2" s="4"/>
      <c r="II2" s="4"/>
      <c r="IJ2" s="4"/>
      <c r="IK2" s="4"/>
      <c r="IL2" s="4"/>
      <c r="IM2" s="4"/>
      <c r="IN2" s="4"/>
      <c r="IO2" s="4"/>
      <c r="IP2" s="4"/>
      <c r="IQ2" s="4"/>
      <c r="IR2" s="4"/>
      <c r="IS2" s="4"/>
      <c r="IT2" s="4"/>
      <c r="IU2" s="4"/>
      <c r="IV2" s="4"/>
    </row>
    <row r="3" spans="1:256" x14ac:dyDescent="0.6">
      <c r="A3" s="317" t="s">
        <v>133</v>
      </c>
      <c r="B3" s="317"/>
      <c r="C3" s="317"/>
      <c r="D3" s="317"/>
      <c r="E3" s="317"/>
      <c r="F3" s="317"/>
      <c r="G3" s="317"/>
      <c r="H3" s="317"/>
      <c r="I3" s="317"/>
      <c r="J3" s="317"/>
      <c r="K3" s="317"/>
      <c r="L3" s="317"/>
      <c r="M3" s="317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4"/>
      <c r="AZ3" s="4"/>
      <c r="BA3" s="4"/>
      <c r="BB3" s="4"/>
      <c r="BC3" s="4"/>
      <c r="BD3" s="4"/>
      <c r="BE3" s="4"/>
      <c r="BF3" s="4"/>
      <c r="BG3" s="4"/>
      <c r="BH3" s="4"/>
      <c r="BI3" s="4"/>
      <c r="BJ3" s="4"/>
      <c r="BK3" s="4"/>
      <c r="BL3" s="4"/>
      <c r="BM3" s="4"/>
      <c r="BN3" s="4"/>
      <c r="BO3" s="4"/>
      <c r="BP3" s="4"/>
      <c r="BQ3" s="4"/>
      <c r="BR3" s="4"/>
      <c r="BS3" s="4"/>
      <c r="BT3" s="4"/>
      <c r="BU3" s="4"/>
      <c r="BV3" s="4"/>
      <c r="BW3" s="4"/>
      <c r="BX3" s="4"/>
      <c r="BY3" s="4"/>
      <c r="BZ3" s="4"/>
      <c r="CA3" s="4"/>
      <c r="CB3" s="4"/>
      <c r="CC3" s="4"/>
      <c r="CD3" s="4"/>
      <c r="CE3" s="4"/>
      <c r="CF3" s="4"/>
      <c r="CG3" s="4"/>
      <c r="CH3" s="4"/>
      <c r="CI3" s="4"/>
      <c r="CJ3" s="4"/>
      <c r="CK3" s="4"/>
      <c r="CL3" s="4"/>
      <c r="CM3" s="4"/>
      <c r="CN3" s="4"/>
      <c r="CO3" s="4"/>
      <c r="CP3" s="4"/>
      <c r="CQ3" s="4"/>
      <c r="CR3" s="4"/>
      <c r="CS3" s="4"/>
      <c r="CT3" s="4"/>
      <c r="CU3" s="4"/>
      <c r="CV3" s="4"/>
      <c r="CW3" s="4"/>
      <c r="CX3" s="4"/>
      <c r="CY3" s="4"/>
      <c r="CZ3" s="4"/>
      <c r="DA3" s="4"/>
      <c r="DB3" s="4"/>
      <c r="DC3" s="4"/>
      <c r="DD3" s="4"/>
      <c r="DE3" s="4"/>
      <c r="DF3" s="4"/>
      <c r="DG3" s="4"/>
      <c r="DH3" s="4"/>
      <c r="DI3" s="4"/>
      <c r="DJ3" s="4"/>
      <c r="DK3" s="4"/>
      <c r="DL3" s="4"/>
      <c r="DM3" s="4"/>
      <c r="DN3" s="4"/>
      <c r="DO3" s="4"/>
      <c r="DP3" s="4"/>
      <c r="DQ3" s="4"/>
      <c r="DR3" s="4"/>
      <c r="DS3" s="4"/>
      <c r="DT3" s="4"/>
      <c r="DU3" s="4"/>
      <c r="DV3" s="4"/>
      <c r="DW3" s="4"/>
      <c r="DX3" s="4"/>
      <c r="DY3" s="4"/>
      <c r="DZ3" s="4"/>
      <c r="EA3" s="4"/>
      <c r="EB3" s="4"/>
      <c r="EC3" s="4"/>
      <c r="ED3" s="4"/>
      <c r="EE3" s="4"/>
      <c r="EF3" s="4"/>
      <c r="EG3" s="4"/>
      <c r="EH3" s="4"/>
      <c r="EI3" s="4"/>
      <c r="EJ3" s="4"/>
      <c r="EK3" s="4"/>
      <c r="EL3" s="4"/>
      <c r="EM3" s="4"/>
      <c r="EN3" s="4"/>
      <c r="EO3" s="4"/>
      <c r="EP3" s="4"/>
      <c r="EQ3" s="4"/>
      <c r="ER3" s="4"/>
      <c r="ES3" s="4"/>
      <c r="ET3" s="4"/>
      <c r="EU3" s="4"/>
      <c r="EV3" s="4"/>
      <c r="EW3" s="4"/>
      <c r="EX3" s="4"/>
      <c r="EY3" s="4"/>
      <c r="EZ3" s="4"/>
      <c r="FA3" s="4"/>
      <c r="FB3" s="4"/>
      <c r="FC3" s="4"/>
      <c r="FD3" s="4"/>
      <c r="FE3" s="4"/>
      <c r="FF3" s="4"/>
      <c r="FG3" s="4"/>
      <c r="FH3" s="4"/>
      <c r="FI3" s="4"/>
      <c r="FJ3" s="4"/>
      <c r="FK3" s="4"/>
      <c r="FL3" s="4"/>
      <c r="FM3" s="4"/>
      <c r="FN3" s="4"/>
      <c r="FO3" s="4"/>
      <c r="FP3" s="4"/>
      <c r="FQ3" s="4"/>
      <c r="FR3" s="4"/>
      <c r="FS3" s="4"/>
      <c r="FT3" s="4"/>
      <c r="FU3" s="4"/>
      <c r="FV3" s="4"/>
      <c r="FW3" s="4"/>
      <c r="FX3" s="4"/>
      <c r="FY3" s="4"/>
      <c r="FZ3" s="4"/>
      <c r="GA3" s="4"/>
      <c r="GB3" s="4"/>
      <c r="GC3" s="4"/>
      <c r="GD3" s="4"/>
      <c r="GE3" s="4"/>
      <c r="GF3" s="4"/>
      <c r="GG3" s="4"/>
      <c r="GH3" s="4"/>
      <c r="GI3" s="4"/>
      <c r="GJ3" s="4"/>
      <c r="GK3" s="4"/>
      <c r="GL3" s="4"/>
      <c r="GM3" s="4"/>
      <c r="GN3" s="4"/>
      <c r="GO3" s="4"/>
      <c r="GP3" s="4"/>
      <c r="GQ3" s="4"/>
      <c r="GR3" s="4"/>
      <c r="GS3" s="4"/>
      <c r="GT3" s="4"/>
      <c r="GU3" s="4"/>
      <c r="GV3" s="4"/>
      <c r="GW3" s="4"/>
      <c r="GX3" s="4"/>
      <c r="GY3" s="4"/>
      <c r="GZ3" s="4"/>
      <c r="HA3" s="4"/>
      <c r="HB3" s="4"/>
      <c r="HC3" s="4"/>
      <c r="HD3" s="4"/>
      <c r="HE3" s="4"/>
      <c r="HF3" s="4"/>
      <c r="HG3" s="4"/>
      <c r="HH3" s="4"/>
      <c r="HI3" s="4"/>
      <c r="HJ3" s="4"/>
      <c r="HK3" s="4"/>
      <c r="HL3" s="4"/>
      <c r="HM3" s="4"/>
      <c r="HN3" s="4"/>
      <c r="HO3" s="4"/>
      <c r="HP3" s="4"/>
      <c r="HQ3" s="4"/>
      <c r="HR3" s="4"/>
      <c r="HS3" s="4"/>
      <c r="HT3" s="4"/>
      <c r="HU3" s="4"/>
      <c r="HV3" s="4"/>
      <c r="HW3" s="4"/>
      <c r="HX3" s="4"/>
      <c r="HY3" s="4"/>
      <c r="HZ3" s="4"/>
      <c r="IA3" s="4"/>
      <c r="IB3" s="4"/>
      <c r="IC3" s="4"/>
      <c r="ID3" s="4"/>
      <c r="IE3" s="4"/>
      <c r="IF3" s="4"/>
      <c r="IG3" s="4"/>
      <c r="IH3" s="4"/>
      <c r="II3" s="4"/>
      <c r="IJ3" s="4"/>
      <c r="IK3" s="4"/>
      <c r="IL3" s="4"/>
      <c r="IM3" s="4"/>
      <c r="IN3" s="4"/>
      <c r="IO3" s="4"/>
      <c r="IP3" s="4"/>
      <c r="IQ3" s="4"/>
      <c r="IR3" s="4"/>
      <c r="IS3" s="4"/>
      <c r="IT3" s="4"/>
      <c r="IU3" s="4"/>
      <c r="IV3" s="4"/>
    </row>
    <row r="4" spans="1:256" x14ac:dyDescent="0.6">
      <c r="A4" s="4"/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A4" s="4"/>
      <c r="DB4" s="4"/>
      <c r="DC4" s="4"/>
      <c r="DD4" s="4"/>
      <c r="DE4" s="4"/>
      <c r="DF4" s="4"/>
      <c r="DG4" s="4"/>
      <c r="DH4" s="4"/>
      <c r="DI4" s="4"/>
      <c r="DJ4" s="4"/>
      <c r="DK4" s="4"/>
      <c r="DL4" s="4"/>
      <c r="DM4" s="4"/>
      <c r="DN4" s="4"/>
      <c r="DO4" s="4"/>
      <c r="DP4" s="4"/>
      <c r="DQ4" s="4"/>
      <c r="DR4" s="4"/>
      <c r="DS4" s="4"/>
      <c r="DT4" s="4"/>
      <c r="DU4" s="4"/>
      <c r="DV4" s="4"/>
      <c r="DW4" s="4"/>
      <c r="DX4" s="4"/>
      <c r="DY4" s="4"/>
      <c r="DZ4" s="4"/>
      <c r="EA4" s="4"/>
      <c r="EB4" s="4"/>
      <c r="EC4" s="4"/>
      <c r="ED4" s="4"/>
      <c r="EE4" s="4"/>
      <c r="EF4" s="4"/>
      <c r="EG4" s="4"/>
      <c r="EH4" s="4"/>
      <c r="EI4" s="4"/>
      <c r="EJ4" s="4"/>
      <c r="EK4" s="4"/>
      <c r="EL4" s="4"/>
      <c r="EM4" s="4"/>
      <c r="EN4" s="4"/>
      <c r="EO4" s="4"/>
      <c r="EP4" s="4"/>
      <c r="EQ4" s="4"/>
      <c r="ER4" s="4"/>
      <c r="ES4" s="4"/>
      <c r="ET4" s="4"/>
      <c r="EU4" s="4"/>
      <c r="EV4" s="4"/>
      <c r="EW4" s="4"/>
      <c r="EX4" s="4"/>
      <c r="EY4" s="4"/>
      <c r="EZ4" s="4"/>
      <c r="FA4" s="4"/>
      <c r="FB4" s="4"/>
      <c r="FC4" s="4"/>
      <c r="FD4" s="4"/>
      <c r="FE4" s="4"/>
      <c r="FF4" s="4"/>
      <c r="FG4" s="4"/>
      <c r="FH4" s="4"/>
      <c r="FI4" s="4"/>
      <c r="FJ4" s="4"/>
      <c r="FK4" s="4"/>
      <c r="FL4" s="4"/>
      <c r="FM4" s="4"/>
      <c r="FN4" s="4"/>
      <c r="FO4" s="4"/>
      <c r="FP4" s="4"/>
      <c r="FQ4" s="4"/>
      <c r="FR4" s="4"/>
      <c r="FS4" s="4"/>
      <c r="FT4" s="4"/>
      <c r="FU4" s="4"/>
      <c r="FV4" s="4"/>
      <c r="FW4" s="4"/>
      <c r="FX4" s="4"/>
      <c r="FY4" s="4"/>
      <c r="FZ4" s="4"/>
      <c r="GA4" s="4"/>
      <c r="GB4" s="4"/>
      <c r="GC4" s="4"/>
      <c r="GD4" s="4"/>
      <c r="GE4" s="4"/>
      <c r="GF4" s="4"/>
      <c r="GG4" s="4"/>
      <c r="GH4" s="4"/>
      <c r="GI4" s="4"/>
      <c r="GJ4" s="4"/>
      <c r="GK4" s="4"/>
      <c r="GL4" s="4"/>
      <c r="GM4" s="4"/>
      <c r="GN4" s="4"/>
      <c r="GO4" s="4"/>
      <c r="GP4" s="4"/>
      <c r="GQ4" s="4"/>
      <c r="GR4" s="4"/>
      <c r="GS4" s="4"/>
      <c r="GT4" s="4"/>
      <c r="GU4" s="4"/>
      <c r="GV4" s="4"/>
      <c r="GW4" s="4"/>
      <c r="GX4" s="4"/>
      <c r="GY4" s="4"/>
      <c r="GZ4" s="4"/>
      <c r="HA4" s="4"/>
      <c r="HB4" s="4"/>
      <c r="HC4" s="4"/>
      <c r="HD4" s="4"/>
      <c r="HE4" s="4"/>
      <c r="HF4" s="4"/>
      <c r="HG4" s="4"/>
      <c r="HH4" s="4"/>
      <c r="HI4" s="4"/>
      <c r="HJ4" s="4"/>
      <c r="HK4" s="4"/>
      <c r="HL4" s="4"/>
      <c r="HM4" s="4"/>
      <c r="HN4" s="4"/>
      <c r="HO4" s="4"/>
      <c r="HP4" s="4"/>
      <c r="HQ4" s="4"/>
      <c r="HR4" s="4"/>
      <c r="HS4" s="4"/>
      <c r="HT4" s="4"/>
      <c r="HU4" s="4"/>
      <c r="HV4" s="4"/>
      <c r="HW4" s="4"/>
      <c r="HX4" s="4"/>
      <c r="HY4" s="4"/>
      <c r="HZ4" s="4"/>
      <c r="IA4" s="4"/>
      <c r="IB4" s="4"/>
      <c r="IC4" s="4"/>
      <c r="ID4" s="4"/>
      <c r="IE4" s="4"/>
      <c r="IF4" s="4"/>
      <c r="IG4" s="4"/>
      <c r="IH4" s="4"/>
      <c r="II4" s="4"/>
      <c r="IJ4" s="4"/>
      <c r="IK4" s="4"/>
      <c r="IL4" s="4"/>
      <c r="IM4" s="4"/>
      <c r="IN4" s="4"/>
      <c r="IO4" s="4"/>
      <c r="IP4" s="4"/>
      <c r="IQ4" s="4"/>
      <c r="IR4" s="4"/>
      <c r="IS4" s="4"/>
      <c r="IT4" s="4"/>
      <c r="IU4" s="4"/>
      <c r="IV4" s="4"/>
    </row>
    <row r="5" spans="1:256" x14ac:dyDescent="0.6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4"/>
      <c r="DI5" s="4"/>
      <c r="DJ5" s="4"/>
      <c r="DK5" s="4"/>
      <c r="DL5" s="4"/>
      <c r="DM5" s="4"/>
      <c r="DN5" s="4"/>
      <c r="DO5" s="4"/>
      <c r="DP5" s="4"/>
      <c r="DQ5" s="4"/>
      <c r="DR5" s="4"/>
      <c r="DS5" s="4"/>
      <c r="DT5" s="4"/>
      <c r="DU5" s="4"/>
      <c r="DV5" s="4"/>
      <c r="DW5" s="4"/>
      <c r="DX5" s="4"/>
      <c r="DY5" s="4"/>
      <c r="DZ5" s="4"/>
      <c r="EA5" s="4"/>
      <c r="EB5" s="4"/>
      <c r="EC5" s="4"/>
      <c r="ED5" s="4"/>
      <c r="EE5" s="4"/>
      <c r="EF5" s="4"/>
      <c r="EG5" s="4"/>
      <c r="EH5" s="4"/>
      <c r="EI5" s="4"/>
      <c r="EJ5" s="4"/>
      <c r="EK5" s="4"/>
      <c r="EL5" s="4"/>
      <c r="EM5" s="4"/>
      <c r="EN5" s="4"/>
      <c r="EO5" s="4"/>
      <c r="EP5" s="4"/>
      <c r="EQ5" s="4"/>
      <c r="ER5" s="4"/>
      <c r="ES5" s="4"/>
      <c r="ET5" s="4"/>
      <c r="EU5" s="4"/>
      <c r="EV5" s="4"/>
      <c r="EW5" s="4"/>
      <c r="EX5" s="4"/>
      <c r="EY5" s="4"/>
      <c r="EZ5" s="4"/>
      <c r="FA5" s="4"/>
      <c r="FB5" s="4"/>
      <c r="FC5" s="4"/>
      <c r="FD5" s="4"/>
      <c r="FE5" s="4"/>
      <c r="FF5" s="4"/>
      <c r="FG5" s="4"/>
      <c r="FH5" s="4"/>
      <c r="FI5" s="4"/>
      <c r="FJ5" s="4"/>
      <c r="FK5" s="4"/>
      <c r="FL5" s="4"/>
      <c r="FM5" s="4"/>
      <c r="FN5" s="4"/>
      <c r="FO5" s="4"/>
      <c r="FP5" s="4"/>
      <c r="FQ5" s="4"/>
      <c r="FR5" s="4"/>
      <c r="FS5" s="4"/>
      <c r="FT5" s="4"/>
      <c r="FU5" s="4"/>
      <c r="FV5" s="4"/>
      <c r="FW5" s="4"/>
      <c r="FX5" s="4"/>
      <c r="FY5" s="4"/>
      <c r="FZ5" s="4"/>
      <c r="GA5" s="4"/>
      <c r="GB5" s="4"/>
      <c r="GC5" s="4"/>
      <c r="GD5" s="4"/>
      <c r="GE5" s="4"/>
      <c r="GF5" s="4"/>
      <c r="GG5" s="4"/>
      <c r="GH5" s="4"/>
      <c r="GI5" s="4"/>
      <c r="GJ5" s="4"/>
      <c r="GK5" s="4"/>
      <c r="GL5" s="4"/>
      <c r="GM5" s="4"/>
      <c r="GN5" s="4"/>
      <c r="GO5" s="4"/>
      <c r="GP5" s="4"/>
      <c r="GQ5" s="4"/>
      <c r="GR5" s="4"/>
      <c r="GS5" s="4"/>
      <c r="GT5" s="4"/>
      <c r="GU5" s="4"/>
      <c r="GV5" s="4"/>
      <c r="GW5" s="4"/>
      <c r="GX5" s="4"/>
      <c r="GY5" s="4"/>
      <c r="GZ5" s="4"/>
      <c r="HA5" s="4"/>
      <c r="HB5" s="4"/>
      <c r="HC5" s="4"/>
      <c r="HD5" s="4"/>
      <c r="HE5" s="4"/>
      <c r="HF5" s="4"/>
      <c r="HG5" s="4"/>
      <c r="HH5" s="4"/>
      <c r="HI5" s="4"/>
      <c r="HJ5" s="4"/>
      <c r="HK5" s="4"/>
      <c r="HL5" s="4"/>
      <c r="HM5" s="4"/>
      <c r="HN5" s="4"/>
      <c r="HO5" s="4"/>
      <c r="HP5" s="4"/>
      <c r="HQ5" s="4"/>
      <c r="HR5" s="4"/>
      <c r="HS5" s="4"/>
      <c r="HT5" s="4"/>
      <c r="HU5" s="4"/>
      <c r="HV5" s="4"/>
      <c r="HW5" s="4"/>
      <c r="HX5" s="4"/>
      <c r="HY5" s="4"/>
      <c r="HZ5" s="4"/>
      <c r="IA5" s="4"/>
      <c r="IB5" s="4"/>
      <c r="IC5" s="4"/>
      <c r="ID5" s="4"/>
      <c r="IE5" s="4"/>
      <c r="IF5" s="4"/>
      <c r="IG5" s="4"/>
      <c r="IH5" s="4"/>
      <c r="II5" s="4"/>
      <c r="IJ5" s="4"/>
      <c r="IK5" s="4"/>
      <c r="IL5" s="4"/>
      <c r="IM5" s="4"/>
      <c r="IN5" s="4"/>
      <c r="IO5" s="4"/>
      <c r="IP5" s="4"/>
      <c r="IQ5" s="4"/>
      <c r="IR5" s="4"/>
      <c r="IS5" s="4"/>
      <c r="IT5" s="4"/>
      <c r="IU5" s="4"/>
      <c r="IV5" s="4"/>
    </row>
    <row r="6" spans="1:256" x14ac:dyDescent="0.6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</row>
    <row r="7" spans="1:256" x14ac:dyDescent="0.6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</row>
    <row r="8" spans="1:256" x14ac:dyDescent="0.6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</row>
    <row r="9" spans="1:256" x14ac:dyDescent="0.6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4"/>
      <c r="AD9" s="4"/>
      <c r="AE9" s="4"/>
      <c r="AF9" s="4"/>
      <c r="AG9" s="4"/>
      <c r="AH9" s="4"/>
      <c r="AI9" s="4"/>
      <c r="AJ9" s="4"/>
      <c r="AK9" s="4"/>
      <c r="AL9" s="4"/>
      <c r="AM9" s="4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</row>
    <row r="10" spans="1:256" x14ac:dyDescent="0.6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4"/>
      <c r="AD10" s="4"/>
      <c r="AE10" s="4"/>
      <c r="AF10" s="4"/>
      <c r="AG10" s="4"/>
      <c r="AH10" s="4"/>
      <c r="AI10" s="4"/>
      <c r="AJ10" s="4"/>
      <c r="AK10" s="4"/>
      <c r="AL10" s="4"/>
      <c r="AM10" s="4"/>
      <c r="AN10" s="4"/>
      <c r="AO10" s="4"/>
      <c r="AP10" s="4"/>
      <c r="AQ10" s="4"/>
      <c r="AR10" s="4"/>
      <c r="AS10" s="4"/>
      <c r="AT10" s="4"/>
      <c r="AU10" s="4"/>
      <c r="AV10" s="4"/>
      <c r="AW10" s="4"/>
      <c r="AX10" s="4"/>
      <c r="AY10" s="4"/>
      <c r="AZ10" s="4"/>
      <c r="BA10" s="4"/>
      <c r="BB10" s="4"/>
      <c r="BC10" s="4"/>
      <c r="BD10" s="4"/>
      <c r="BE10" s="4"/>
      <c r="BF10" s="4"/>
      <c r="BG10" s="4"/>
      <c r="BH10" s="4"/>
      <c r="BI10" s="4"/>
      <c r="BJ10" s="4"/>
      <c r="BK10" s="4"/>
      <c r="BL10" s="4"/>
      <c r="BM10" s="4"/>
      <c r="BN10" s="4"/>
      <c r="BO10" s="4"/>
      <c r="BP10" s="4"/>
      <c r="BQ10" s="4"/>
      <c r="BR10" s="4"/>
      <c r="BS10" s="4"/>
      <c r="BT10" s="4"/>
      <c r="BU10" s="4"/>
      <c r="BV10" s="4"/>
      <c r="BW10" s="4"/>
      <c r="BX10" s="4"/>
      <c r="BY10" s="4"/>
      <c r="BZ10" s="4"/>
      <c r="CA10" s="4"/>
      <c r="CB10" s="4"/>
      <c r="CC10" s="4"/>
      <c r="CD10" s="4"/>
      <c r="CE10" s="4"/>
      <c r="CF10" s="4"/>
      <c r="CG10" s="4"/>
      <c r="CH10" s="4"/>
      <c r="CI10" s="4"/>
      <c r="CJ10" s="4"/>
      <c r="CK10" s="4"/>
      <c r="CL10" s="4"/>
      <c r="CM10" s="4"/>
      <c r="CN10" s="4"/>
      <c r="CO10" s="4"/>
      <c r="CP10" s="4"/>
      <c r="CQ10" s="4"/>
      <c r="CR10" s="4"/>
      <c r="CS10" s="4"/>
      <c r="CT10" s="4"/>
      <c r="CU10" s="4"/>
      <c r="CV10" s="4"/>
      <c r="CW10" s="4"/>
      <c r="CX10" s="4"/>
      <c r="CY10" s="4"/>
      <c r="CZ10" s="4"/>
      <c r="DA10" s="4"/>
      <c r="DB10" s="4"/>
      <c r="DC10" s="4"/>
      <c r="DD10" s="4"/>
      <c r="DE10" s="4"/>
      <c r="DF10" s="4"/>
      <c r="DG10" s="4"/>
      <c r="DH10" s="4"/>
      <c r="DI10" s="4"/>
      <c r="DJ10" s="4"/>
      <c r="DK10" s="4"/>
      <c r="DL10" s="4"/>
      <c r="DM10" s="4"/>
      <c r="DN10" s="4"/>
      <c r="DO10" s="4"/>
      <c r="DP10" s="4"/>
      <c r="DQ10" s="4"/>
      <c r="DR10" s="4"/>
      <c r="DS10" s="4"/>
      <c r="DT10" s="4"/>
      <c r="DU10" s="4"/>
      <c r="DV10" s="4"/>
      <c r="DW10" s="4"/>
      <c r="DX10" s="4"/>
      <c r="DY10" s="4"/>
      <c r="DZ10" s="4"/>
      <c r="EA10" s="4"/>
      <c r="EB10" s="4"/>
      <c r="EC10" s="4"/>
      <c r="ED10" s="4"/>
      <c r="EE10" s="4"/>
      <c r="EF10" s="4"/>
      <c r="EG10" s="4"/>
      <c r="EH10" s="4"/>
      <c r="EI10" s="4"/>
      <c r="EJ10" s="4"/>
      <c r="EK10" s="4"/>
      <c r="EL10" s="4"/>
      <c r="EM10" s="4"/>
      <c r="EN10" s="4"/>
      <c r="EO10" s="4"/>
      <c r="EP10" s="4"/>
      <c r="EQ10" s="4"/>
      <c r="ER10" s="4"/>
      <c r="ES10" s="4"/>
      <c r="ET10" s="4"/>
      <c r="EU10" s="4"/>
      <c r="EV10" s="4"/>
      <c r="EW10" s="4"/>
      <c r="EX10" s="4"/>
      <c r="EY10" s="4"/>
      <c r="EZ10" s="4"/>
      <c r="FA10" s="4"/>
      <c r="FB10" s="4"/>
      <c r="FC10" s="4"/>
      <c r="FD10" s="4"/>
      <c r="FE10" s="4"/>
      <c r="FF10" s="4"/>
      <c r="FG10" s="4"/>
      <c r="FH10" s="4"/>
      <c r="FI10" s="4"/>
      <c r="FJ10" s="4"/>
      <c r="FK10" s="4"/>
      <c r="FL10" s="4"/>
      <c r="FM10" s="4"/>
      <c r="FN10" s="4"/>
      <c r="FO10" s="4"/>
      <c r="FP10" s="4"/>
      <c r="FQ10" s="4"/>
      <c r="FR10" s="4"/>
      <c r="FS10" s="4"/>
      <c r="FT10" s="4"/>
      <c r="FU10" s="4"/>
      <c r="FV10" s="4"/>
      <c r="FW10" s="4"/>
      <c r="FX10" s="4"/>
      <c r="FY10" s="4"/>
      <c r="FZ10" s="4"/>
      <c r="GA10" s="4"/>
      <c r="GB10" s="4"/>
      <c r="GC10" s="4"/>
      <c r="GD10" s="4"/>
      <c r="GE10" s="4"/>
      <c r="GF10" s="4"/>
      <c r="GG10" s="4"/>
      <c r="GH10" s="4"/>
      <c r="GI10" s="4"/>
      <c r="GJ10" s="4"/>
      <c r="GK10" s="4"/>
      <c r="GL10" s="4"/>
      <c r="GM10" s="4"/>
      <c r="GN10" s="4"/>
      <c r="GO10" s="4"/>
      <c r="GP10" s="4"/>
      <c r="GQ10" s="4"/>
      <c r="GR10" s="4"/>
      <c r="GS10" s="4"/>
      <c r="GT10" s="4"/>
      <c r="GU10" s="4"/>
      <c r="GV10" s="4"/>
      <c r="GW10" s="4"/>
      <c r="GX10" s="4"/>
      <c r="GY10" s="4"/>
      <c r="GZ10" s="4"/>
      <c r="HA10" s="4"/>
      <c r="HB10" s="4"/>
      <c r="HC10" s="4"/>
      <c r="HD10" s="4"/>
      <c r="HE10" s="4"/>
      <c r="HF10" s="4"/>
      <c r="HG10" s="4"/>
      <c r="HH10" s="4"/>
      <c r="HI10" s="4"/>
      <c r="HJ10" s="4"/>
      <c r="HK10" s="4"/>
      <c r="HL10" s="4"/>
      <c r="HM10" s="4"/>
      <c r="HN10" s="4"/>
      <c r="HO10" s="4"/>
      <c r="HP10" s="4"/>
      <c r="HQ10" s="4"/>
      <c r="HR10" s="4"/>
      <c r="HS10" s="4"/>
      <c r="HT10" s="4"/>
      <c r="HU10" s="4"/>
      <c r="HV10" s="4"/>
      <c r="HW10" s="4"/>
      <c r="HX10" s="4"/>
      <c r="HY10" s="4"/>
      <c r="HZ10" s="4"/>
      <c r="IA10" s="4"/>
      <c r="IB10" s="4"/>
      <c r="IC10" s="4"/>
      <c r="ID10" s="4"/>
      <c r="IE10" s="4"/>
      <c r="IF10" s="4"/>
      <c r="IG10" s="4"/>
      <c r="IH10" s="4"/>
      <c r="II10" s="4"/>
      <c r="IJ10" s="4"/>
      <c r="IK10" s="4"/>
      <c r="IL10" s="4"/>
      <c r="IM10" s="4"/>
      <c r="IN10" s="4"/>
      <c r="IO10" s="4"/>
      <c r="IP10" s="4"/>
      <c r="IQ10" s="4"/>
      <c r="IR10" s="4"/>
      <c r="IS10" s="4"/>
      <c r="IT10" s="4"/>
      <c r="IU10" s="4"/>
      <c r="IV10" s="4"/>
    </row>
    <row r="11" spans="1:256" x14ac:dyDescent="0.6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4"/>
      <c r="AD11" s="4"/>
      <c r="AE11" s="4"/>
      <c r="AF11" s="4"/>
      <c r="AG11" s="4"/>
      <c r="AH11" s="4"/>
      <c r="AI11" s="4"/>
      <c r="AJ11" s="4"/>
      <c r="AK11" s="4"/>
      <c r="AL11" s="4"/>
      <c r="AM11" s="4"/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</row>
    <row r="12" spans="1:256" x14ac:dyDescent="0.6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4"/>
      <c r="AD12" s="4"/>
      <c r="AE12" s="4"/>
      <c r="AF12" s="4"/>
      <c r="AG12" s="4"/>
      <c r="AH12" s="4"/>
      <c r="AI12" s="4"/>
      <c r="AJ12" s="4"/>
      <c r="AK12" s="4"/>
      <c r="AL12" s="4"/>
      <c r="AM12" s="4"/>
      <c r="AN12" s="4"/>
      <c r="AO12" s="4"/>
      <c r="AP12" s="4"/>
      <c r="AQ12" s="4"/>
      <c r="AR12" s="4"/>
      <c r="AS12" s="4"/>
      <c r="AT12" s="4"/>
      <c r="AU12" s="4"/>
      <c r="AV12" s="4"/>
      <c r="AW12" s="4"/>
      <c r="AX12" s="4"/>
      <c r="AY12" s="4"/>
      <c r="AZ12" s="4"/>
      <c r="BA12" s="4"/>
      <c r="BB12" s="4"/>
      <c r="BC12" s="4"/>
      <c r="BD12" s="4"/>
      <c r="BE12" s="4"/>
      <c r="BF12" s="4"/>
      <c r="BG12" s="4"/>
      <c r="BH12" s="4"/>
      <c r="BI12" s="4"/>
      <c r="BJ12" s="4"/>
      <c r="BK12" s="4"/>
      <c r="BL12" s="4"/>
      <c r="BM12" s="4"/>
      <c r="BN12" s="4"/>
      <c r="BO12" s="4"/>
      <c r="BP12" s="4"/>
      <c r="BQ12" s="4"/>
      <c r="BR12" s="4"/>
      <c r="BS12" s="4"/>
      <c r="BT12" s="4"/>
      <c r="BU12" s="4"/>
      <c r="BV12" s="4"/>
      <c r="BW12" s="4"/>
      <c r="BX12" s="4"/>
      <c r="BY12" s="4"/>
      <c r="BZ12" s="4"/>
      <c r="CA12" s="4"/>
      <c r="CB12" s="4"/>
      <c r="CC12" s="4"/>
      <c r="CD12" s="4"/>
      <c r="CE12" s="4"/>
      <c r="CF12" s="4"/>
      <c r="CG12" s="4"/>
      <c r="CH12" s="4"/>
      <c r="CI12" s="4"/>
      <c r="CJ12" s="4"/>
      <c r="CK12" s="4"/>
      <c r="CL12" s="4"/>
      <c r="CM12" s="4"/>
      <c r="CN12" s="4"/>
      <c r="CO12" s="4"/>
      <c r="CP12" s="4"/>
      <c r="CQ12" s="4"/>
      <c r="CR12" s="4"/>
      <c r="CS12" s="4"/>
      <c r="CT12" s="4"/>
      <c r="CU12" s="4"/>
      <c r="CV12" s="4"/>
      <c r="CW12" s="4"/>
      <c r="CX12" s="4"/>
      <c r="CY12" s="4"/>
      <c r="CZ12" s="4"/>
      <c r="DA12" s="4"/>
      <c r="DB12" s="4"/>
      <c r="DC12" s="4"/>
      <c r="DD12" s="4"/>
      <c r="DE12" s="4"/>
      <c r="DF12" s="4"/>
      <c r="DG12" s="4"/>
      <c r="DH12" s="4"/>
      <c r="DI12" s="4"/>
      <c r="DJ12" s="4"/>
      <c r="DK12" s="4"/>
      <c r="DL12" s="4"/>
      <c r="DM12" s="4"/>
      <c r="DN12" s="4"/>
      <c r="DO12" s="4"/>
      <c r="DP12" s="4"/>
      <c r="DQ12" s="4"/>
      <c r="DR12" s="4"/>
      <c r="DS12" s="4"/>
      <c r="DT12" s="4"/>
      <c r="DU12" s="4"/>
      <c r="DV12" s="4"/>
      <c r="DW12" s="4"/>
      <c r="DX12" s="4"/>
      <c r="DY12" s="4"/>
      <c r="DZ12" s="4"/>
      <c r="EA12" s="4"/>
      <c r="EB12" s="4"/>
      <c r="EC12" s="4"/>
      <c r="ED12" s="4"/>
      <c r="EE12" s="4"/>
      <c r="EF12" s="4"/>
      <c r="EG12" s="4"/>
      <c r="EH12" s="4"/>
      <c r="EI12" s="4"/>
      <c r="EJ12" s="4"/>
      <c r="EK12" s="4"/>
      <c r="EL12" s="4"/>
      <c r="EM12" s="4"/>
      <c r="EN12" s="4"/>
      <c r="EO12" s="4"/>
      <c r="EP12" s="4"/>
      <c r="EQ12" s="4"/>
      <c r="ER12" s="4"/>
      <c r="ES12" s="4"/>
      <c r="ET12" s="4"/>
      <c r="EU12" s="4"/>
      <c r="EV12" s="4"/>
      <c r="EW12" s="4"/>
      <c r="EX12" s="4"/>
      <c r="EY12" s="4"/>
      <c r="EZ12" s="4"/>
      <c r="FA12" s="4"/>
      <c r="FB12" s="4"/>
      <c r="FC12" s="4"/>
      <c r="FD12" s="4"/>
      <c r="FE12" s="4"/>
      <c r="FF12" s="4"/>
      <c r="FG12" s="4"/>
      <c r="FH12" s="4"/>
      <c r="FI12" s="4"/>
      <c r="FJ12" s="4"/>
      <c r="FK12" s="4"/>
      <c r="FL12" s="4"/>
      <c r="FM12" s="4"/>
      <c r="FN12" s="4"/>
      <c r="FO12" s="4"/>
      <c r="FP12" s="4"/>
      <c r="FQ12" s="4"/>
      <c r="FR12" s="4"/>
      <c r="FS12" s="4"/>
      <c r="FT12" s="4"/>
      <c r="FU12" s="4"/>
      <c r="FV12" s="4"/>
      <c r="FW12" s="4"/>
      <c r="FX12" s="4"/>
      <c r="FY12" s="4"/>
      <c r="FZ12" s="4"/>
      <c r="GA12" s="4"/>
      <c r="GB12" s="4"/>
      <c r="GC12" s="4"/>
      <c r="GD12" s="4"/>
      <c r="GE12" s="4"/>
      <c r="GF12" s="4"/>
      <c r="GG12" s="4"/>
      <c r="GH12" s="4"/>
      <c r="GI12" s="4"/>
      <c r="GJ12" s="4"/>
      <c r="GK12" s="4"/>
      <c r="GL12" s="4"/>
      <c r="GM12" s="4"/>
      <c r="GN12" s="4"/>
      <c r="GO12" s="4"/>
      <c r="GP12" s="4"/>
      <c r="GQ12" s="4"/>
      <c r="GR12" s="4"/>
      <c r="GS12" s="4"/>
      <c r="GT12" s="4"/>
      <c r="GU12" s="4"/>
      <c r="GV12" s="4"/>
      <c r="GW12" s="4"/>
      <c r="GX12" s="4"/>
      <c r="GY12" s="4"/>
      <c r="GZ12" s="4"/>
      <c r="HA12" s="4"/>
      <c r="HB12" s="4"/>
      <c r="HC12" s="4"/>
      <c r="HD12" s="4"/>
      <c r="HE12" s="4"/>
      <c r="HF12" s="4"/>
      <c r="HG12" s="4"/>
      <c r="HH12" s="4"/>
      <c r="HI12" s="4"/>
      <c r="HJ12" s="4"/>
      <c r="HK12" s="4"/>
      <c r="HL12" s="4"/>
      <c r="HM12" s="4"/>
      <c r="HN12" s="4"/>
      <c r="HO12" s="4"/>
      <c r="HP12" s="4"/>
      <c r="HQ12" s="4"/>
      <c r="HR12" s="4"/>
      <c r="HS12" s="4"/>
      <c r="HT12" s="4"/>
      <c r="HU12" s="4"/>
      <c r="HV12" s="4"/>
      <c r="HW12" s="4"/>
      <c r="HX12" s="4"/>
      <c r="HY12" s="4"/>
      <c r="HZ12" s="4"/>
      <c r="IA12" s="4"/>
      <c r="IB12" s="4"/>
      <c r="IC12" s="4"/>
      <c r="ID12" s="4"/>
      <c r="IE12" s="4"/>
      <c r="IF12" s="4"/>
      <c r="IG12" s="4"/>
      <c r="IH12" s="4"/>
      <c r="II12" s="4"/>
      <c r="IJ12" s="4"/>
      <c r="IK12" s="4"/>
      <c r="IL12" s="4"/>
      <c r="IM12" s="4"/>
      <c r="IN12" s="4"/>
      <c r="IO12" s="4"/>
      <c r="IP12" s="4"/>
      <c r="IQ12" s="4"/>
      <c r="IR12" s="4"/>
      <c r="IS12" s="4"/>
      <c r="IT12" s="4"/>
      <c r="IU12" s="4"/>
      <c r="IV12" s="4"/>
    </row>
    <row r="13" spans="1:256" x14ac:dyDescent="0.6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  <c r="AC13" s="4"/>
      <c r="AD13" s="4"/>
      <c r="AE13" s="4"/>
      <c r="AF13" s="4"/>
      <c r="AG13" s="4"/>
      <c r="AH13" s="4"/>
      <c r="AI13" s="4"/>
      <c r="AJ13" s="4"/>
      <c r="AK13" s="4"/>
      <c r="AL13" s="4"/>
      <c r="AM13" s="4"/>
      <c r="AN13" s="4"/>
      <c r="AO13" s="4"/>
      <c r="AP13" s="4"/>
      <c r="AQ13" s="4"/>
      <c r="AR13" s="4"/>
      <c r="AS13" s="4"/>
      <c r="AT13" s="4"/>
      <c r="AU13" s="4"/>
      <c r="AV13" s="4"/>
      <c r="AW13" s="4"/>
      <c r="AX13" s="4"/>
      <c r="AY13" s="4"/>
      <c r="AZ13" s="4"/>
      <c r="BA13" s="4"/>
      <c r="BB13" s="4"/>
      <c r="BC13" s="4"/>
      <c r="BD13" s="4"/>
      <c r="BE13" s="4"/>
      <c r="BF13" s="4"/>
      <c r="BG13" s="4"/>
      <c r="BH13" s="4"/>
      <c r="BI13" s="4"/>
      <c r="BJ13" s="4"/>
      <c r="BK13" s="4"/>
      <c r="BL13" s="4"/>
      <c r="BM13" s="4"/>
      <c r="BN13" s="4"/>
      <c r="BO13" s="4"/>
      <c r="BP13" s="4"/>
      <c r="BQ13" s="4"/>
      <c r="BR13" s="4"/>
      <c r="BS13" s="4"/>
      <c r="BT13" s="4"/>
      <c r="BU13" s="4"/>
      <c r="BV13" s="4"/>
      <c r="BW13" s="4"/>
      <c r="BX13" s="4"/>
      <c r="BY13" s="4"/>
      <c r="BZ13" s="4"/>
      <c r="CA13" s="4"/>
      <c r="CB13" s="4"/>
      <c r="CC13" s="4"/>
      <c r="CD13" s="4"/>
      <c r="CE13" s="4"/>
      <c r="CF13" s="4"/>
      <c r="CG13" s="4"/>
      <c r="CH13" s="4"/>
      <c r="CI13" s="4"/>
      <c r="CJ13" s="4"/>
      <c r="CK13" s="4"/>
      <c r="CL13" s="4"/>
      <c r="CM13" s="4"/>
      <c r="CN13" s="4"/>
      <c r="CO13" s="4"/>
      <c r="CP13" s="4"/>
      <c r="CQ13" s="4"/>
      <c r="CR13" s="4"/>
      <c r="CS13" s="4"/>
      <c r="CT13" s="4"/>
      <c r="CU13" s="4"/>
      <c r="CV13" s="4"/>
      <c r="CW13" s="4"/>
      <c r="CX13" s="4"/>
      <c r="CY13" s="4"/>
      <c r="CZ13" s="4"/>
      <c r="DA13" s="4"/>
      <c r="DB13" s="4"/>
      <c r="DC13" s="4"/>
      <c r="DD13" s="4"/>
      <c r="DE13" s="4"/>
      <c r="DF13" s="4"/>
      <c r="DG13" s="4"/>
      <c r="DH13" s="4"/>
      <c r="DI13" s="4"/>
      <c r="DJ13" s="4"/>
      <c r="DK13" s="4"/>
      <c r="DL13" s="4"/>
      <c r="DM13" s="4"/>
      <c r="DN13" s="4"/>
      <c r="DO13" s="4"/>
      <c r="DP13" s="4"/>
      <c r="DQ13" s="4"/>
      <c r="DR13" s="4"/>
      <c r="DS13" s="4"/>
      <c r="DT13" s="4"/>
      <c r="DU13" s="4"/>
      <c r="DV13" s="4"/>
      <c r="DW13" s="4"/>
      <c r="DX13" s="4"/>
      <c r="DY13" s="4"/>
      <c r="DZ13" s="4"/>
      <c r="EA13" s="4"/>
      <c r="EB13" s="4"/>
      <c r="EC13" s="4"/>
      <c r="ED13" s="4"/>
      <c r="EE13" s="4"/>
      <c r="EF13" s="4"/>
      <c r="EG13" s="4"/>
      <c r="EH13" s="4"/>
      <c r="EI13" s="4"/>
      <c r="EJ13" s="4"/>
      <c r="EK13" s="4"/>
      <c r="EL13" s="4"/>
      <c r="EM13" s="4"/>
      <c r="EN13" s="4"/>
      <c r="EO13" s="4"/>
      <c r="EP13" s="4"/>
      <c r="EQ13" s="4"/>
      <c r="ER13" s="4"/>
      <c r="ES13" s="4"/>
      <c r="ET13" s="4"/>
      <c r="EU13" s="4"/>
      <c r="EV13" s="4"/>
      <c r="EW13" s="4"/>
      <c r="EX13" s="4"/>
      <c r="EY13" s="4"/>
      <c r="EZ13" s="4"/>
      <c r="FA13" s="4"/>
      <c r="FB13" s="4"/>
      <c r="FC13" s="4"/>
      <c r="FD13" s="4"/>
      <c r="FE13" s="4"/>
      <c r="FF13" s="4"/>
      <c r="FG13" s="4"/>
      <c r="FH13" s="4"/>
      <c r="FI13" s="4"/>
      <c r="FJ13" s="4"/>
      <c r="FK13" s="4"/>
      <c r="FL13" s="4"/>
      <c r="FM13" s="4"/>
      <c r="FN13" s="4"/>
      <c r="FO13" s="4"/>
      <c r="FP13" s="4"/>
      <c r="FQ13" s="4"/>
      <c r="FR13" s="4"/>
      <c r="FS13" s="4"/>
      <c r="FT13" s="4"/>
      <c r="FU13" s="4"/>
      <c r="FV13" s="4"/>
      <c r="FW13" s="4"/>
      <c r="FX13" s="4"/>
      <c r="FY13" s="4"/>
      <c r="FZ13" s="4"/>
      <c r="GA13" s="4"/>
      <c r="GB13" s="4"/>
      <c r="GC13" s="4"/>
      <c r="GD13" s="4"/>
      <c r="GE13" s="4"/>
      <c r="GF13" s="4"/>
      <c r="GG13" s="4"/>
      <c r="GH13" s="4"/>
      <c r="GI13" s="4"/>
      <c r="GJ13" s="4"/>
      <c r="GK13" s="4"/>
      <c r="GL13" s="4"/>
      <c r="GM13" s="4"/>
      <c r="GN13" s="4"/>
      <c r="GO13" s="4"/>
      <c r="GP13" s="4"/>
      <c r="GQ13" s="4"/>
      <c r="GR13" s="4"/>
      <c r="GS13" s="4"/>
      <c r="GT13" s="4"/>
      <c r="GU13" s="4"/>
      <c r="GV13" s="4"/>
      <c r="GW13" s="4"/>
      <c r="GX13" s="4"/>
      <c r="GY13" s="4"/>
      <c r="GZ13" s="4"/>
      <c r="HA13" s="4"/>
      <c r="HB13" s="4"/>
      <c r="HC13" s="4"/>
      <c r="HD13" s="4"/>
      <c r="HE13" s="4"/>
      <c r="HF13" s="4"/>
      <c r="HG13" s="4"/>
      <c r="HH13" s="4"/>
      <c r="HI13" s="4"/>
      <c r="HJ13" s="4"/>
      <c r="HK13" s="4"/>
      <c r="HL13" s="4"/>
      <c r="HM13" s="4"/>
      <c r="HN13" s="4"/>
      <c r="HO13" s="4"/>
      <c r="HP13" s="4"/>
      <c r="HQ13" s="4"/>
      <c r="HR13" s="4"/>
      <c r="HS13" s="4"/>
      <c r="HT13" s="4"/>
      <c r="HU13" s="4"/>
      <c r="HV13" s="4"/>
      <c r="HW13" s="4"/>
      <c r="HX13" s="4"/>
      <c r="HY13" s="4"/>
      <c r="HZ13" s="4"/>
      <c r="IA13" s="4"/>
      <c r="IB13" s="4"/>
      <c r="IC13" s="4"/>
      <c r="ID13" s="4"/>
      <c r="IE13" s="4"/>
      <c r="IF13" s="4"/>
      <c r="IG13" s="4"/>
      <c r="IH13" s="4"/>
      <c r="II13" s="4"/>
      <c r="IJ13" s="4"/>
      <c r="IK13" s="4"/>
      <c r="IL13" s="4"/>
      <c r="IM13" s="4"/>
      <c r="IN13" s="4"/>
      <c r="IO13" s="4"/>
      <c r="IP13" s="4"/>
      <c r="IQ13" s="4"/>
      <c r="IR13" s="4"/>
      <c r="IS13" s="4"/>
      <c r="IT13" s="4"/>
      <c r="IU13" s="4"/>
      <c r="IV13" s="4"/>
    </row>
    <row r="14" spans="1:256" x14ac:dyDescent="0.6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  <c r="AC14" s="4"/>
      <c r="AD14" s="4"/>
      <c r="AE14" s="4"/>
      <c r="AF14" s="4"/>
      <c r="AG14" s="4"/>
      <c r="AH14" s="4"/>
      <c r="AI14" s="4"/>
      <c r="AJ14" s="4"/>
      <c r="AK14" s="4"/>
      <c r="AL14" s="4"/>
      <c r="AM14" s="4"/>
      <c r="AN14" s="4"/>
      <c r="AO14" s="4"/>
      <c r="AP14" s="4"/>
      <c r="AQ14" s="4"/>
      <c r="AR14" s="4"/>
      <c r="AS14" s="4"/>
      <c r="AT14" s="4"/>
      <c r="AU14" s="4"/>
      <c r="AV14" s="4"/>
      <c r="AW14" s="4"/>
      <c r="AX14" s="4"/>
      <c r="AY14" s="4"/>
      <c r="AZ14" s="4"/>
      <c r="BA14" s="4"/>
      <c r="BB14" s="4"/>
      <c r="BC14" s="4"/>
      <c r="BD14" s="4"/>
      <c r="BE14" s="4"/>
      <c r="BF14" s="4"/>
      <c r="BG14" s="4"/>
      <c r="BH14" s="4"/>
      <c r="BI14" s="4"/>
      <c r="BJ14" s="4"/>
      <c r="BK14" s="4"/>
      <c r="BL14" s="4"/>
      <c r="BM14" s="4"/>
      <c r="BN14" s="4"/>
      <c r="BO14" s="4"/>
      <c r="BP14" s="4"/>
      <c r="BQ14" s="4"/>
      <c r="BR14" s="4"/>
      <c r="BS14" s="4"/>
      <c r="BT14" s="4"/>
      <c r="BU14" s="4"/>
      <c r="BV14" s="4"/>
      <c r="BW14" s="4"/>
      <c r="BX14" s="4"/>
      <c r="BY14" s="4"/>
      <c r="BZ14" s="4"/>
      <c r="CA14" s="4"/>
      <c r="CB14" s="4"/>
      <c r="CC14" s="4"/>
      <c r="CD14" s="4"/>
      <c r="CE14" s="4"/>
      <c r="CF14" s="4"/>
      <c r="CG14" s="4"/>
      <c r="CH14" s="4"/>
      <c r="CI14" s="4"/>
      <c r="CJ14" s="4"/>
      <c r="CK14" s="4"/>
      <c r="CL14" s="4"/>
      <c r="CM14" s="4"/>
      <c r="CN14" s="4"/>
      <c r="CO14" s="4"/>
      <c r="CP14" s="4"/>
      <c r="CQ14" s="4"/>
      <c r="CR14" s="4"/>
      <c r="CS14" s="4"/>
      <c r="CT14" s="4"/>
      <c r="CU14" s="4"/>
      <c r="CV14" s="4"/>
      <c r="CW14" s="4"/>
      <c r="CX14" s="4"/>
      <c r="CY14" s="4"/>
      <c r="CZ14" s="4"/>
      <c r="DA14" s="4"/>
      <c r="DB14" s="4"/>
      <c r="DC14" s="4"/>
      <c r="DD14" s="4"/>
      <c r="DE14" s="4"/>
      <c r="DF14" s="4"/>
      <c r="DG14" s="4"/>
      <c r="DH14" s="4"/>
      <c r="DI14" s="4"/>
      <c r="DJ14" s="4"/>
      <c r="DK14" s="4"/>
      <c r="DL14" s="4"/>
      <c r="DM14" s="4"/>
      <c r="DN14" s="4"/>
      <c r="DO14" s="4"/>
      <c r="DP14" s="4"/>
      <c r="DQ14" s="4"/>
      <c r="DR14" s="4"/>
      <c r="DS14" s="4"/>
      <c r="DT14" s="4"/>
      <c r="DU14" s="4"/>
      <c r="DV14" s="4"/>
      <c r="DW14" s="4"/>
      <c r="DX14" s="4"/>
      <c r="DY14" s="4"/>
      <c r="DZ14" s="4"/>
      <c r="EA14" s="4"/>
      <c r="EB14" s="4"/>
      <c r="EC14" s="4"/>
      <c r="ED14" s="4"/>
      <c r="EE14" s="4"/>
      <c r="EF14" s="4"/>
      <c r="EG14" s="4"/>
      <c r="EH14" s="4"/>
      <c r="EI14" s="4"/>
      <c r="EJ14" s="4"/>
      <c r="EK14" s="4"/>
      <c r="EL14" s="4"/>
      <c r="EM14" s="4"/>
      <c r="EN14" s="4"/>
      <c r="EO14" s="4"/>
      <c r="EP14" s="4"/>
      <c r="EQ14" s="4"/>
      <c r="ER14" s="4"/>
      <c r="ES14" s="4"/>
      <c r="ET14" s="4"/>
      <c r="EU14" s="4"/>
      <c r="EV14" s="4"/>
      <c r="EW14" s="4"/>
      <c r="EX14" s="4"/>
      <c r="EY14" s="4"/>
      <c r="EZ14" s="4"/>
      <c r="FA14" s="4"/>
      <c r="FB14" s="4"/>
      <c r="FC14" s="4"/>
      <c r="FD14" s="4"/>
      <c r="FE14" s="4"/>
      <c r="FF14" s="4"/>
      <c r="FG14" s="4"/>
      <c r="FH14" s="4"/>
      <c r="FI14" s="4"/>
      <c r="FJ14" s="4"/>
      <c r="FK14" s="4"/>
      <c r="FL14" s="4"/>
      <c r="FM14" s="4"/>
      <c r="FN14" s="4"/>
      <c r="FO14" s="4"/>
      <c r="FP14" s="4"/>
      <c r="FQ14" s="4"/>
      <c r="FR14" s="4"/>
      <c r="FS14" s="4"/>
      <c r="FT14" s="4"/>
      <c r="FU14" s="4"/>
      <c r="FV14" s="4"/>
      <c r="FW14" s="4"/>
      <c r="FX14" s="4"/>
      <c r="FY14" s="4"/>
      <c r="FZ14" s="4"/>
      <c r="GA14" s="4"/>
      <c r="GB14" s="4"/>
      <c r="GC14" s="4"/>
      <c r="GD14" s="4"/>
      <c r="GE14" s="4"/>
      <c r="GF14" s="4"/>
      <c r="GG14" s="4"/>
      <c r="GH14" s="4"/>
      <c r="GI14" s="4"/>
      <c r="GJ14" s="4"/>
      <c r="GK14" s="4"/>
      <c r="GL14" s="4"/>
      <c r="GM14" s="4"/>
      <c r="GN14" s="4"/>
      <c r="GO14" s="4"/>
      <c r="GP14" s="4"/>
      <c r="GQ14" s="4"/>
      <c r="GR14" s="4"/>
      <c r="GS14" s="4"/>
      <c r="GT14" s="4"/>
      <c r="GU14" s="4"/>
      <c r="GV14" s="4"/>
      <c r="GW14" s="4"/>
      <c r="GX14" s="4"/>
      <c r="GY14" s="4"/>
      <c r="GZ14" s="4"/>
      <c r="HA14" s="4"/>
      <c r="HB14" s="4"/>
      <c r="HC14" s="4"/>
      <c r="HD14" s="4"/>
      <c r="HE14" s="4"/>
      <c r="HF14" s="4"/>
      <c r="HG14" s="4"/>
      <c r="HH14" s="4"/>
      <c r="HI14" s="4"/>
      <c r="HJ14" s="4"/>
      <c r="HK14" s="4"/>
      <c r="HL14" s="4"/>
      <c r="HM14" s="4"/>
      <c r="HN14" s="4"/>
      <c r="HO14" s="4"/>
      <c r="HP14" s="4"/>
      <c r="HQ14" s="4"/>
      <c r="HR14" s="4"/>
      <c r="HS14" s="4"/>
      <c r="HT14" s="4"/>
      <c r="HU14" s="4"/>
      <c r="HV14" s="4"/>
      <c r="HW14" s="4"/>
      <c r="HX14" s="4"/>
      <c r="HY14" s="4"/>
      <c r="HZ14" s="4"/>
      <c r="IA14" s="4"/>
      <c r="IB14" s="4"/>
      <c r="IC14" s="4"/>
      <c r="ID14" s="4"/>
      <c r="IE14" s="4"/>
      <c r="IF14" s="4"/>
      <c r="IG14" s="4"/>
      <c r="IH14" s="4"/>
      <c r="II14" s="4"/>
      <c r="IJ14" s="4"/>
      <c r="IK14" s="4"/>
      <c r="IL14" s="4"/>
      <c r="IM14" s="4"/>
      <c r="IN14" s="4"/>
      <c r="IO14" s="4"/>
      <c r="IP14" s="4"/>
      <c r="IQ14" s="4"/>
      <c r="IR14" s="4"/>
      <c r="IS14" s="4"/>
      <c r="IT14" s="4"/>
      <c r="IU14" s="4"/>
      <c r="IV14" s="4"/>
    </row>
    <row r="15" spans="1:256" x14ac:dyDescent="0.6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4"/>
      <c r="AD15" s="4"/>
      <c r="AE15" s="4"/>
      <c r="AF15" s="4"/>
      <c r="AG15" s="4"/>
      <c r="AH15" s="4"/>
      <c r="AI15" s="4"/>
      <c r="AJ15" s="4"/>
      <c r="AK15" s="4"/>
      <c r="AL15" s="4"/>
      <c r="AM15" s="4"/>
      <c r="AN15" s="4"/>
      <c r="AO15" s="4"/>
      <c r="AP15" s="4"/>
      <c r="AQ15" s="4"/>
      <c r="AR15" s="4"/>
      <c r="AS15" s="4"/>
      <c r="AT15" s="4"/>
      <c r="AU15" s="4"/>
      <c r="AV15" s="4"/>
      <c r="AW15" s="4"/>
      <c r="AX15" s="4"/>
      <c r="AY15" s="4"/>
      <c r="AZ15" s="4"/>
      <c r="BA15" s="4"/>
      <c r="BB15" s="4"/>
      <c r="BC15" s="4"/>
      <c r="BD15" s="4"/>
      <c r="BE15" s="4"/>
      <c r="BF15" s="4"/>
      <c r="BG15" s="4"/>
      <c r="BH15" s="4"/>
      <c r="BI15" s="4"/>
      <c r="BJ15" s="4"/>
      <c r="BK15" s="4"/>
      <c r="BL15" s="4"/>
      <c r="BM15" s="4"/>
      <c r="BN15" s="4"/>
      <c r="BO15" s="4"/>
      <c r="BP15" s="4"/>
      <c r="BQ15" s="4"/>
      <c r="BR15" s="4"/>
      <c r="BS15" s="4"/>
      <c r="BT15" s="4"/>
      <c r="BU15" s="4"/>
      <c r="BV15" s="4"/>
      <c r="BW15" s="4"/>
      <c r="BX15" s="4"/>
      <c r="BY15" s="4"/>
      <c r="BZ15" s="4"/>
      <c r="CA15" s="4"/>
      <c r="CB15" s="4"/>
      <c r="CC15" s="4"/>
      <c r="CD15" s="4"/>
      <c r="CE15" s="4"/>
      <c r="CF15" s="4"/>
      <c r="CG15" s="4"/>
      <c r="CH15" s="4"/>
      <c r="CI15" s="4"/>
      <c r="CJ15" s="4"/>
      <c r="CK15" s="4"/>
      <c r="CL15" s="4"/>
      <c r="CM15" s="4"/>
      <c r="CN15" s="4"/>
      <c r="CO15" s="4"/>
      <c r="CP15" s="4"/>
      <c r="CQ15" s="4"/>
      <c r="CR15" s="4"/>
      <c r="CS15" s="4"/>
      <c r="CT15" s="4"/>
      <c r="CU15" s="4"/>
      <c r="CV15" s="4"/>
      <c r="CW15" s="4"/>
      <c r="CX15" s="4"/>
      <c r="CY15" s="4"/>
      <c r="CZ15" s="4"/>
      <c r="DA15" s="4"/>
      <c r="DB15" s="4"/>
      <c r="DC15" s="4"/>
      <c r="DD15" s="4"/>
      <c r="DE15" s="4"/>
      <c r="DF15" s="4"/>
      <c r="DG15" s="4"/>
      <c r="DH15" s="4"/>
      <c r="DI15" s="4"/>
      <c r="DJ15" s="4"/>
      <c r="DK15" s="4"/>
      <c r="DL15" s="4"/>
      <c r="DM15" s="4"/>
      <c r="DN15" s="4"/>
      <c r="DO15" s="4"/>
      <c r="DP15" s="4"/>
      <c r="DQ15" s="4"/>
      <c r="DR15" s="4"/>
      <c r="DS15" s="4"/>
      <c r="DT15" s="4"/>
      <c r="DU15" s="4"/>
      <c r="DV15" s="4"/>
      <c r="DW15" s="4"/>
      <c r="DX15" s="4"/>
      <c r="DY15" s="4"/>
      <c r="DZ15" s="4"/>
      <c r="EA15" s="4"/>
      <c r="EB15" s="4"/>
      <c r="EC15" s="4"/>
      <c r="ED15" s="4"/>
      <c r="EE15" s="4"/>
      <c r="EF15" s="4"/>
      <c r="EG15" s="4"/>
      <c r="EH15" s="4"/>
      <c r="EI15" s="4"/>
      <c r="EJ15" s="4"/>
      <c r="EK15" s="4"/>
      <c r="EL15" s="4"/>
      <c r="EM15" s="4"/>
      <c r="EN15" s="4"/>
      <c r="EO15" s="4"/>
      <c r="EP15" s="4"/>
      <c r="EQ15" s="4"/>
      <c r="ER15" s="4"/>
      <c r="ES15" s="4"/>
      <c r="ET15" s="4"/>
      <c r="EU15" s="4"/>
      <c r="EV15" s="4"/>
      <c r="EW15" s="4"/>
      <c r="EX15" s="4"/>
      <c r="EY15" s="4"/>
      <c r="EZ15" s="4"/>
      <c r="FA15" s="4"/>
      <c r="FB15" s="4"/>
      <c r="FC15" s="4"/>
      <c r="FD15" s="4"/>
      <c r="FE15" s="4"/>
      <c r="FF15" s="4"/>
      <c r="FG15" s="4"/>
      <c r="FH15" s="4"/>
      <c r="FI15" s="4"/>
      <c r="FJ15" s="4"/>
      <c r="FK15" s="4"/>
      <c r="FL15" s="4"/>
      <c r="FM15" s="4"/>
      <c r="FN15" s="4"/>
      <c r="FO15" s="4"/>
      <c r="FP15" s="4"/>
      <c r="FQ15" s="4"/>
      <c r="FR15" s="4"/>
      <c r="FS15" s="4"/>
      <c r="FT15" s="4"/>
      <c r="FU15" s="4"/>
      <c r="FV15" s="4"/>
      <c r="FW15" s="4"/>
      <c r="FX15" s="4"/>
      <c r="FY15" s="4"/>
      <c r="FZ15" s="4"/>
      <c r="GA15" s="4"/>
      <c r="GB15" s="4"/>
      <c r="GC15" s="4"/>
      <c r="GD15" s="4"/>
      <c r="GE15" s="4"/>
      <c r="GF15" s="4"/>
      <c r="GG15" s="4"/>
      <c r="GH15" s="4"/>
      <c r="GI15" s="4"/>
      <c r="GJ15" s="4"/>
      <c r="GK15" s="4"/>
      <c r="GL15" s="4"/>
      <c r="GM15" s="4"/>
      <c r="GN15" s="4"/>
      <c r="GO15" s="4"/>
      <c r="GP15" s="4"/>
      <c r="GQ15" s="4"/>
      <c r="GR15" s="4"/>
      <c r="GS15" s="4"/>
      <c r="GT15" s="4"/>
      <c r="GU15" s="4"/>
      <c r="GV15" s="4"/>
      <c r="GW15" s="4"/>
      <c r="GX15" s="4"/>
      <c r="GY15" s="4"/>
      <c r="GZ15" s="4"/>
      <c r="HA15" s="4"/>
      <c r="HB15" s="4"/>
      <c r="HC15" s="4"/>
      <c r="HD15" s="4"/>
      <c r="HE15" s="4"/>
      <c r="HF15" s="4"/>
      <c r="HG15" s="4"/>
      <c r="HH15" s="4"/>
      <c r="HI15" s="4"/>
      <c r="HJ15" s="4"/>
      <c r="HK15" s="4"/>
      <c r="HL15" s="4"/>
      <c r="HM15" s="4"/>
      <c r="HN15" s="4"/>
      <c r="HO15" s="4"/>
      <c r="HP15" s="4"/>
      <c r="HQ15" s="4"/>
      <c r="HR15" s="4"/>
      <c r="HS15" s="4"/>
      <c r="HT15" s="4"/>
      <c r="HU15" s="4"/>
      <c r="HV15" s="4"/>
      <c r="HW15" s="4"/>
      <c r="HX15" s="4"/>
      <c r="HY15" s="4"/>
      <c r="HZ15" s="4"/>
      <c r="IA15" s="4"/>
      <c r="IB15" s="4"/>
      <c r="IC15" s="4"/>
      <c r="ID15" s="4"/>
      <c r="IE15" s="4"/>
      <c r="IF15" s="4"/>
      <c r="IG15" s="4"/>
      <c r="IH15" s="4"/>
      <c r="II15" s="4"/>
      <c r="IJ15" s="4"/>
      <c r="IK15" s="4"/>
      <c r="IL15" s="4"/>
      <c r="IM15" s="4"/>
      <c r="IN15" s="4"/>
      <c r="IO15" s="4"/>
      <c r="IP15" s="4"/>
      <c r="IQ15" s="4"/>
      <c r="IR15" s="4"/>
      <c r="IS15" s="4"/>
      <c r="IT15" s="4"/>
      <c r="IU15" s="4"/>
      <c r="IV15" s="4"/>
    </row>
    <row r="16" spans="1:256" x14ac:dyDescent="0.6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  <c r="AC16" s="4"/>
      <c r="AD16" s="4"/>
      <c r="AE16" s="4"/>
      <c r="AF16" s="4"/>
      <c r="AG16" s="4"/>
      <c r="AH16" s="4"/>
      <c r="AI16" s="4"/>
      <c r="AJ16" s="4"/>
      <c r="AK16" s="4"/>
      <c r="AL16" s="4"/>
      <c r="AM16" s="4"/>
      <c r="AN16" s="4"/>
      <c r="AO16" s="4"/>
      <c r="AP16" s="4"/>
      <c r="AQ16" s="4"/>
      <c r="AR16" s="4"/>
      <c r="AS16" s="4"/>
      <c r="AT16" s="4"/>
      <c r="AU16" s="4"/>
      <c r="AV16" s="4"/>
      <c r="AW16" s="4"/>
      <c r="AX16" s="4"/>
      <c r="AY16" s="4"/>
      <c r="AZ16" s="4"/>
      <c r="BA16" s="4"/>
      <c r="BB16" s="4"/>
      <c r="BC16" s="4"/>
      <c r="BD16" s="4"/>
      <c r="BE16" s="4"/>
      <c r="BF16" s="4"/>
      <c r="BG16" s="4"/>
      <c r="BH16" s="4"/>
      <c r="BI16" s="4"/>
      <c r="BJ16" s="4"/>
      <c r="BK16" s="4"/>
      <c r="BL16" s="4"/>
      <c r="BM16" s="4"/>
      <c r="BN16" s="4"/>
      <c r="BO16" s="4"/>
      <c r="BP16" s="4"/>
      <c r="BQ16" s="4"/>
      <c r="BR16" s="4"/>
      <c r="BS16" s="4"/>
      <c r="BT16" s="4"/>
      <c r="BU16" s="4"/>
      <c r="BV16" s="4"/>
      <c r="BW16" s="4"/>
      <c r="BX16" s="4"/>
      <c r="BY16" s="4"/>
      <c r="BZ16" s="4"/>
      <c r="CA16" s="4"/>
      <c r="CB16" s="4"/>
      <c r="CC16" s="4"/>
      <c r="CD16" s="4"/>
      <c r="CE16" s="4"/>
      <c r="CF16" s="4"/>
      <c r="CG16" s="4"/>
      <c r="CH16" s="4"/>
      <c r="CI16" s="4"/>
      <c r="CJ16" s="4"/>
      <c r="CK16" s="4"/>
      <c r="CL16" s="4"/>
      <c r="CM16" s="4"/>
      <c r="CN16" s="4"/>
      <c r="CO16" s="4"/>
      <c r="CP16" s="4"/>
      <c r="CQ16" s="4"/>
      <c r="CR16" s="4"/>
      <c r="CS16" s="4"/>
      <c r="CT16" s="4"/>
      <c r="CU16" s="4"/>
      <c r="CV16" s="4"/>
      <c r="CW16" s="4"/>
      <c r="CX16" s="4"/>
      <c r="CY16" s="4"/>
      <c r="CZ16" s="4"/>
      <c r="DA16" s="4"/>
      <c r="DB16" s="4"/>
      <c r="DC16" s="4"/>
      <c r="DD16" s="4"/>
      <c r="DE16" s="4"/>
      <c r="DF16" s="4"/>
      <c r="DG16" s="4"/>
      <c r="DH16" s="4"/>
      <c r="DI16" s="4"/>
      <c r="DJ16" s="4"/>
      <c r="DK16" s="4"/>
      <c r="DL16" s="4"/>
      <c r="DM16" s="4"/>
      <c r="DN16" s="4"/>
      <c r="DO16" s="4"/>
      <c r="DP16" s="4"/>
      <c r="DQ16" s="4"/>
      <c r="DR16" s="4"/>
      <c r="DS16" s="4"/>
      <c r="DT16" s="4"/>
      <c r="DU16" s="4"/>
      <c r="DV16" s="4"/>
      <c r="DW16" s="4"/>
      <c r="DX16" s="4"/>
      <c r="DY16" s="4"/>
      <c r="DZ16" s="4"/>
      <c r="EA16" s="4"/>
      <c r="EB16" s="4"/>
      <c r="EC16" s="4"/>
      <c r="ED16" s="4"/>
      <c r="EE16" s="4"/>
      <c r="EF16" s="4"/>
      <c r="EG16" s="4"/>
      <c r="EH16" s="4"/>
      <c r="EI16" s="4"/>
      <c r="EJ16" s="4"/>
      <c r="EK16" s="4"/>
      <c r="EL16" s="4"/>
      <c r="EM16" s="4"/>
      <c r="EN16" s="4"/>
      <c r="EO16" s="4"/>
      <c r="EP16" s="4"/>
      <c r="EQ16" s="4"/>
      <c r="ER16" s="4"/>
      <c r="ES16" s="4"/>
      <c r="ET16" s="4"/>
      <c r="EU16" s="4"/>
      <c r="EV16" s="4"/>
      <c r="EW16" s="4"/>
      <c r="EX16" s="4"/>
      <c r="EY16" s="4"/>
      <c r="EZ16" s="4"/>
      <c r="FA16" s="4"/>
      <c r="FB16" s="4"/>
      <c r="FC16" s="4"/>
      <c r="FD16" s="4"/>
      <c r="FE16" s="4"/>
      <c r="FF16" s="4"/>
      <c r="FG16" s="4"/>
      <c r="FH16" s="4"/>
      <c r="FI16" s="4"/>
      <c r="FJ16" s="4"/>
      <c r="FK16" s="4"/>
      <c r="FL16" s="4"/>
      <c r="FM16" s="4"/>
      <c r="FN16" s="4"/>
      <c r="FO16" s="4"/>
      <c r="FP16" s="4"/>
      <c r="FQ16" s="4"/>
      <c r="FR16" s="4"/>
      <c r="FS16" s="4"/>
      <c r="FT16" s="4"/>
      <c r="FU16" s="4"/>
      <c r="FV16" s="4"/>
      <c r="FW16" s="4"/>
      <c r="FX16" s="4"/>
      <c r="FY16" s="4"/>
      <c r="FZ16" s="4"/>
      <c r="GA16" s="4"/>
      <c r="GB16" s="4"/>
      <c r="GC16" s="4"/>
      <c r="GD16" s="4"/>
      <c r="GE16" s="4"/>
      <c r="GF16" s="4"/>
      <c r="GG16" s="4"/>
      <c r="GH16" s="4"/>
      <c r="GI16" s="4"/>
      <c r="GJ16" s="4"/>
      <c r="GK16" s="4"/>
      <c r="GL16" s="4"/>
      <c r="GM16" s="4"/>
      <c r="GN16" s="4"/>
      <c r="GO16" s="4"/>
      <c r="GP16" s="4"/>
      <c r="GQ16" s="4"/>
      <c r="GR16" s="4"/>
      <c r="GS16" s="4"/>
      <c r="GT16" s="4"/>
      <c r="GU16" s="4"/>
      <c r="GV16" s="4"/>
      <c r="GW16" s="4"/>
      <c r="GX16" s="4"/>
      <c r="GY16" s="4"/>
      <c r="GZ16" s="4"/>
      <c r="HA16" s="4"/>
      <c r="HB16" s="4"/>
      <c r="HC16" s="4"/>
      <c r="HD16" s="4"/>
      <c r="HE16" s="4"/>
      <c r="HF16" s="4"/>
      <c r="HG16" s="4"/>
      <c r="HH16" s="4"/>
      <c r="HI16" s="4"/>
      <c r="HJ16" s="4"/>
      <c r="HK16" s="4"/>
      <c r="HL16" s="4"/>
      <c r="HM16" s="4"/>
      <c r="HN16" s="4"/>
      <c r="HO16" s="4"/>
      <c r="HP16" s="4"/>
      <c r="HQ16" s="4"/>
      <c r="HR16" s="4"/>
      <c r="HS16" s="4"/>
      <c r="HT16" s="4"/>
      <c r="HU16" s="4"/>
      <c r="HV16" s="4"/>
      <c r="HW16" s="4"/>
      <c r="HX16" s="4"/>
      <c r="HY16" s="4"/>
      <c r="HZ16" s="4"/>
      <c r="IA16" s="4"/>
      <c r="IB16" s="4"/>
      <c r="IC16" s="4"/>
      <c r="ID16" s="4"/>
      <c r="IE16" s="4"/>
      <c r="IF16" s="4"/>
      <c r="IG16" s="4"/>
      <c r="IH16" s="4"/>
      <c r="II16" s="4"/>
      <c r="IJ16" s="4"/>
      <c r="IK16" s="4"/>
      <c r="IL16" s="4"/>
      <c r="IM16" s="4"/>
      <c r="IN16" s="4"/>
      <c r="IO16" s="4"/>
      <c r="IP16" s="4"/>
      <c r="IQ16" s="4"/>
      <c r="IR16" s="4"/>
      <c r="IS16" s="4"/>
      <c r="IT16" s="4"/>
      <c r="IU16" s="4"/>
      <c r="IV16" s="4"/>
    </row>
    <row r="17" spans="1:256" x14ac:dyDescent="0.6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  <c r="AC17" s="4"/>
      <c r="AD17" s="4"/>
      <c r="AE17" s="4"/>
      <c r="AF17" s="4"/>
      <c r="AG17" s="4"/>
      <c r="AH17" s="4"/>
      <c r="AI17" s="4"/>
      <c r="AJ17" s="4"/>
      <c r="AK17" s="4"/>
      <c r="AL17" s="4"/>
      <c r="AM17" s="4"/>
      <c r="AN17" s="4"/>
      <c r="AO17" s="4"/>
      <c r="AP17" s="4"/>
      <c r="AQ17" s="4"/>
      <c r="AR17" s="4"/>
      <c r="AS17" s="4"/>
      <c r="AT17" s="4"/>
      <c r="AU17" s="4"/>
      <c r="AV17" s="4"/>
      <c r="AW17" s="4"/>
      <c r="AX17" s="4"/>
      <c r="AY17" s="4"/>
      <c r="AZ17" s="4"/>
      <c r="BA17" s="4"/>
      <c r="BB17" s="4"/>
      <c r="BC17" s="4"/>
      <c r="BD17" s="4"/>
      <c r="BE17" s="4"/>
      <c r="BF17" s="4"/>
      <c r="BG17" s="4"/>
      <c r="BH17" s="4"/>
      <c r="BI17" s="4"/>
      <c r="BJ17" s="4"/>
      <c r="BK17" s="4"/>
      <c r="BL17" s="4"/>
      <c r="BM17" s="4"/>
      <c r="BN17" s="4"/>
      <c r="BO17" s="4"/>
      <c r="BP17" s="4"/>
      <c r="BQ17" s="4"/>
      <c r="BR17" s="4"/>
      <c r="BS17" s="4"/>
      <c r="BT17" s="4"/>
      <c r="BU17" s="4"/>
      <c r="BV17" s="4"/>
      <c r="BW17" s="4"/>
      <c r="BX17" s="4"/>
      <c r="BY17" s="4"/>
      <c r="BZ17" s="4"/>
      <c r="CA17" s="4"/>
      <c r="CB17" s="4"/>
      <c r="CC17" s="4"/>
      <c r="CD17" s="4"/>
      <c r="CE17" s="4"/>
      <c r="CF17" s="4"/>
      <c r="CG17" s="4"/>
      <c r="CH17" s="4"/>
      <c r="CI17" s="4"/>
      <c r="CJ17" s="4"/>
      <c r="CK17" s="4"/>
      <c r="CL17" s="4"/>
      <c r="CM17" s="4"/>
      <c r="CN17" s="4"/>
      <c r="CO17" s="4"/>
      <c r="CP17" s="4"/>
      <c r="CQ17" s="4"/>
      <c r="CR17" s="4"/>
      <c r="CS17" s="4"/>
      <c r="CT17" s="4"/>
      <c r="CU17" s="4"/>
      <c r="CV17" s="4"/>
      <c r="CW17" s="4"/>
      <c r="CX17" s="4"/>
      <c r="CY17" s="4"/>
      <c r="CZ17" s="4"/>
      <c r="DA17" s="4"/>
      <c r="DB17" s="4"/>
      <c r="DC17" s="4"/>
      <c r="DD17" s="4"/>
      <c r="DE17" s="4"/>
      <c r="DF17" s="4"/>
      <c r="DG17" s="4"/>
      <c r="DH17" s="4"/>
      <c r="DI17" s="4"/>
      <c r="DJ17" s="4"/>
      <c r="DK17" s="4"/>
      <c r="DL17" s="4"/>
      <c r="DM17" s="4"/>
      <c r="DN17" s="4"/>
      <c r="DO17" s="4"/>
      <c r="DP17" s="4"/>
      <c r="DQ17" s="4"/>
      <c r="DR17" s="4"/>
      <c r="DS17" s="4"/>
      <c r="DT17" s="4"/>
      <c r="DU17" s="4"/>
      <c r="DV17" s="4"/>
      <c r="DW17" s="4"/>
      <c r="DX17" s="4"/>
      <c r="DY17" s="4"/>
      <c r="DZ17" s="4"/>
      <c r="EA17" s="4"/>
      <c r="EB17" s="4"/>
      <c r="EC17" s="4"/>
      <c r="ED17" s="4"/>
      <c r="EE17" s="4"/>
      <c r="EF17" s="4"/>
      <c r="EG17" s="4"/>
      <c r="EH17" s="4"/>
      <c r="EI17" s="4"/>
      <c r="EJ17" s="4"/>
      <c r="EK17" s="4"/>
      <c r="EL17" s="4"/>
      <c r="EM17" s="4"/>
      <c r="EN17" s="4"/>
      <c r="EO17" s="4"/>
      <c r="EP17" s="4"/>
      <c r="EQ17" s="4"/>
      <c r="ER17" s="4"/>
      <c r="ES17" s="4"/>
      <c r="ET17" s="4"/>
      <c r="EU17" s="4"/>
      <c r="EV17" s="4"/>
      <c r="EW17" s="4"/>
      <c r="EX17" s="4"/>
      <c r="EY17" s="4"/>
      <c r="EZ17" s="4"/>
      <c r="FA17" s="4"/>
      <c r="FB17" s="4"/>
      <c r="FC17" s="4"/>
      <c r="FD17" s="4"/>
      <c r="FE17" s="4"/>
      <c r="FF17" s="4"/>
      <c r="FG17" s="4"/>
      <c r="FH17" s="4"/>
      <c r="FI17" s="4"/>
      <c r="FJ17" s="4"/>
      <c r="FK17" s="4"/>
      <c r="FL17" s="4"/>
      <c r="FM17" s="4"/>
      <c r="FN17" s="4"/>
      <c r="FO17" s="4"/>
      <c r="FP17" s="4"/>
      <c r="FQ17" s="4"/>
      <c r="FR17" s="4"/>
      <c r="FS17" s="4"/>
      <c r="FT17" s="4"/>
      <c r="FU17" s="4"/>
      <c r="FV17" s="4"/>
      <c r="FW17" s="4"/>
      <c r="FX17" s="4"/>
      <c r="FY17" s="4"/>
      <c r="FZ17" s="4"/>
      <c r="GA17" s="4"/>
      <c r="GB17" s="4"/>
      <c r="GC17" s="4"/>
      <c r="GD17" s="4"/>
      <c r="GE17" s="4"/>
      <c r="GF17" s="4"/>
      <c r="GG17" s="4"/>
      <c r="GH17" s="4"/>
      <c r="GI17" s="4"/>
      <c r="GJ17" s="4"/>
      <c r="GK17" s="4"/>
      <c r="GL17" s="4"/>
      <c r="GM17" s="4"/>
      <c r="GN17" s="4"/>
      <c r="GO17" s="4"/>
      <c r="GP17" s="4"/>
      <c r="GQ17" s="4"/>
      <c r="GR17" s="4"/>
      <c r="GS17" s="4"/>
      <c r="GT17" s="4"/>
      <c r="GU17" s="4"/>
      <c r="GV17" s="4"/>
      <c r="GW17" s="4"/>
      <c r="GX17" s="4"/>
      <c r="GY17" s="4"/>
      <c r="GZ17" s="4"/>
      <c r="HA17" s="4"/>
      <c r="HB17" s="4"/>
      <c r="HC17" s="4"/>
      <c r="HD17" s="4"/>
      <c r="HE17" s="4"/>
      <c r="HF17" s="4"/>
      <c r="HG17" s="4"/>
      <c r="HH17" s="4"/>
      <c r="HI17" s="4"/>
      <c r="HJ17" s="4"/>
      <c r="HK17" s="4"/>
      <c r="HL17" s="4"/>
      <c r="HM17" s="4"/>
      <c r="HN17" s="4"/>
      <c r="HO17" s="4"/>
      <c r="HP17" s="4"/>
      <c r="HQ17" s="4"/>
      <c r="HR17" s="4"/>
      <c r="HS17" s="4"/>
      <c r="HT17" s="4"/>
      <c r="HU17" s="4"/>
      <c r="HV17" s="4"/>
      <c r="HW17" s="4"/>
      <c r="HX17" s="4"/>
      <c r="HY17" s="4"/>
      <c r="HZ17" s="4"/>
      <c r="IA17" s="4"/>
      <c r="IB17" s="4"/>
      <c r="IC17" s="4"/>
      <c r="ID17" s="4"/>
      <c r="IE17" s="4"/>
      <c r="IF17" s="4"/>
      <c r="IG17" s="4"/>
      <c r="IH17" s="4"/>
      <c r="II17" s="4"/>
      <c r="IJ17" s="4"/>
      <c r="IK17" s="4"/>
      <c r="IL17" s="4"/>
      <c r="IM17" s="4"/>
      <c r="IN17" s="4"/>
      <c r="IO17" s="4"/>
      <c r="IP17" s="4"/>
      <c r="IQ17" s="4"/>
      <c r="IR17" s="4"/>
      <c r="IS17" s="4"/>
      <c r="IT17" s="4"/>
      <c r="IU17" s="4"/>
      <c r="IV17" s="4"/>
    </row>
    <row r="18" spans="1:256" x14ac:dyDescent="0.6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  <c r="AC18" s="4"/>
      <c r="AD18" s="4"/>
      <c r="AE18" s="4"/>
      <c r="AF18" s="4"/>
      <c r="AG18" s="4"/>
      <c r="AH18" s="4"/>
      <c r="AI18" s="4"/>
      <c r="AJ18" s="4"/>
      <c r="AK18" s="4"/>
      <c r="AL18" s="4"/>
      <c r="AM18" s="4"/>
      <c r="AN18" s="4"/>
      <c r="AO18" s="4"/>
      <c r="AP18" s="4"/>
      <c r="AQ18" s="4"/>
      <c r="AR18" s="4"/>
      <c r="AS18" s="4"/>
      <c r="AT18" s="4"/>
      <c r="AU18" s="4"/>
      <c r="AV18" s="4"/>
      <c r="AW18" s="4"/>
      <c r="AX18" s="4"/>
      <c r="AY18" s="4"/>
      <c r="AZ18" s="4"/>
      <c r="BA18" s="4"/>
      <c r="BB18" s="4"/>
      <c r="BC18" s="4"/>
      <c r="BD18" s="4"/>
      <c r="BE18" s="4"/>
      <c r="BF18" s="4"/>
      <c r="BG18" s="4"/>
      <c r="BH18" s="4"/>
      <c r="BI18" s="4"/>
      <c r="BJ18" s="4"/>
      <c r="BK18" s="4"/>
      <c r="BL18" s="4"/>
      <c r="BM18" s="4"/>
      <c r="BN18" s="4"/>
      <c r="BO18" s="4"/>
      <c r="BP18" s="4"/>
      <c r="BQ18" s="4"/>
      <c r="BR18" s="4"/>
      <c r="BS18" s="4"/>
      <c r="BT18" s="4"/>
      <c r="BU18" s="4"/>
      <c r="BV18" s="4"/>
      <c r="BW18" s="4"/>
      <c r="BX18" s="4"/>
      <c r="BY18" s="4"/>
      <c r="BZ18" s="4"/>
      <c r="CA18" s="4"/>
      <c r="CB18" s="4"/>
      <c r="CC18" s="4"/>
      <c r="CD18" s="4"/>
      <c r="CE18" s="4"/>
      <c r="CF18" s="4"/>
      <c r="CG18" s="4"/>
      <c r="CH18" s="4"/>
      <c r="CI18" s="4"/>
      <c r="CJ18" s="4"/>
      <c r="CK18" s="4"/>
      <c r="CL18" s="4"/>
      <c r="CM18" s="4"/>
      <c r="CN18" s="4"/>
      <c r="CO18" s="4"/>
      <c r="CP18" s="4"/>
      <c r="CQ18" s="4"/>
      <c r="CR18" s="4"/>
      <c r="CS18" s="4"/>
      <c r="CT18" s="4"/>
      <c r="CU18" s="4"/>
      <c r="CV18" s="4"/>
      <c r="CW18" s="4"/>
      <c r="CX18" s="4"/>
      <c r="CY18" s="4"/>
      <c r="CZ18" s="4"/>
      <c r="DA18" s="4"/>
      <c r="DB18" s="4"/>
      <c r="DC18" s="4"/>
      <c r="DD18" s="4"/>
      <c r="DE18" s="4"/>
      <c r="DF18" s="4"/>
      <c r="DG18" s="4"/>
      <c r="DH18" s="4"/>
      <c r="DI18" s="4"/>
      <c r="DJ18" s="4"/>
      <c r="DK18" s="4"/>
      <c r="DL18" s="4"/>
      <c r="DM18" s="4"/>
      <c r="DN18" s="4"/>
      <c r="DO18" s="4"/>
      <c r="DP18" s="4"/>
      <c r="DQ18" s="4"/>
      <c r="DR18" s="4"/>
      <c r="DS18" s="4"/>
      <c r="DT18" s="4"/>
      <c r="DU18" s="4"/>
      <c r="DV18" s="4"/>
      <c r="DW18" s="4"/>
      <c r="DX18" s="4"/>
      <c r="DY18" s="4"/>
      <c r="DZ18" s="4"/>
      <c r="EA18" s="4"/>
      <c r="EB18" s="4"/>
      <c r="EC18" s="4"/>
      <c r="ED18" s="4"/>
      <c r="EE18" s="4"/>
      <c r="EF18" s="4"/>
      <c r="EG18" s="4"/>
      <c r="EH18" s="4"/>
      <c r="EI18" s="4"/>
      <c r="EJ18" s="4"/>
      <c r="EK18" s="4"/>
      <c r="EL18" s="4"/>
      <c r="EM18" s="4"/>
      <c r="EN18" s="4"/>
      <c r="EO18" s="4"/>
      <c r="EP18" s="4"/>
      <c r="EQ18" s="4"/>
      <c r="ER18" s="4"/>
      <c r="ES18" s="4"/>
      <c r="ET18" s="4"/>
      <c r="EU18" s="4"/>
      <c r="EV18" s="4"/>
      <c r="EW18" s="4"/>
      <c r="EX18" s="4"/>
      <c r="EY18" s="4"/>
      <c r="EZ18" s="4"/>
      <c r="FA18" s="4"/>
      <c r="FB18" s="4"/>
      <c r="FC18" s="4"/>
      <c r="FD18" s="4"/>
      <c r="FE18" s="4"/>
      <c r="FF18" s="4"/>
      <c r="FG18" s="4"/>
      <c r="FH18" s="4"/>
      <c r="FI18" s="4"/>
      <c r="FJ18" s="4"/>
      <c r="FK18" s="4"/>
      <c r="FL18" s="4"/>
      <c r="FM18" s="4"/>
      <c r="FN18" s="4"/>
      <c r="FO18" s="4"/>
      <c r="FP18" s="4"/>
      <c r="FQ18" s="4"/>
      <c r="FR18" s="4"/>
      <c r="FS18" s="4"/>
      <c r="FT18" s="4"/>
      <c r="FU18" s="4"/>
      <c r="FV18" s="4"/>
      <c r="FW18" s="4"/>
      <c r="FX18" s="4"/>
      <c r="FY18" s="4"/>
      <c r="FZ18" s="4"/>
      <c r="GA18" s="4"/>
      <c r="GB18" s="4"/>
      <c r="GC18" s="4"/>
      <c r="GD18" s="4"/>
      <c r="GE18" s="4"/>
      <c r="GF18" s="4"/>
      <c r="GG18" s="4"/>
      <c r="GH18" s="4"/>
      <c r="GI18" s="4"/>
      <c r="GJ18" s="4"/>
      <c r="GK18" s="4"/>
      <c r="GL18" s="4"/>
      <c r="GM18" s="4"/>
      <c r="GN18" s="4"/>
      <c r="GO18" s="4"/>
      <c r="GP18" s="4"/>
      <c r="GQ18" s="4"/>
      <c r="GR18" s="4"/>
      <c r="GS18" s="4"/>
      <c r="GT18" s="4"/>
      <c r="GU18" s="4"/>
      <c r="GV18" s="4"/>
      <c r="GW18" s="4"/>
      <c r="GX18" s="4"/>
      <c r="GY18" s="4"/>
      <c r="GZ18" s="4"/>
      <c r="HA18" s="4"/>
      <c r="HB18" s="4"/>
      <c r="HC18" s="4"/>
      <c r="HD18" s="4"/>
      <c r="HE18" s="4"/>
      <c r="HF18" s="4"/>
      <c r="HG18" s="4"/>
      <c r="HH18" s="4"/>
      <c r="HI18" s="4"/>
      <c r="HJ18" s="4"/>
      <c r="HK18" s="4"/>
      <c r="HL18" s="4"/>
      <c r="HM18" s="4"/>
      <c r="HN18" s="4"/>
      <c r="HO18" s="4"/>
      <c r="HP18" s="4"/>
      <c r="HQ18" s="4"/>
      <c r="HR18" s="4"/>
      <c r="HS18" s="4"/>
      <c r="HT18" s="4"/>
      <c r="HU18" s="4"/>
      <c r="HV18" s="4"/>
      <c r="HW18" s="4"/>
      <c r="HX18" s="4"/>
      <c r="HY18" s="4"/>
      <c r="HZ18" s="4"/>
      <c r="IA18" s="4"/>
      <c r="IB18" s="4"/>
      <c r="IC18" s="4"/>
      <c r="ID18" s="4"/>
      <c r="IE18" s="4"/>
      <c r="IF18" s="4"/>
      <c r="IG18" s="4"/>
      <c r="IH18" s="4"/>
      <c r="II18" s="4"/>
      <c r="IJ18" s="4"/>
      <c r="IK18" s="4"/>
      <c r="IL18" s="4"/>
      <c r="IM18" s="4"/>
      <c r="IN18" s="4"/>
      <c r="IO18" s="4"/>
      <c r="IP18" s="4"/>
      <c r="IQ18" s="4"/>
      <c r="IR18" s="4"/>
      <c r="IS18" s="4"/>
      <c r="IT18" s="4"/>
      <c r="IU18" s="4"/>
      <c r="IV18" s="4"/>
    </row>
    <row r="19" spans="1:256" x14ac:dyDescent="0.6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  <c r="AC19" s="4"/>
      <c r="AD19" s="4"/>
      <c r="AE19" s="4"/>
      <c r="AF19" s="4"/>
      <c r="AG19" s="4"/>
      <c r="AH19" s="4"/>
      <c r="AI19" s="4"/>
      <c r="AJ19" s="4"/>
      <c r="AK19" s="4"/>
      <c r="AL19" s="4"/>
      <c r="AM19" s="4"/>
      <c r="AN19" s="4"/>
      <c r="AO19" s="4"/>
      <c r="AP19" s="4"/>
      <c r="AQ19" s="4"/>
      <c r="AR19" s="4"/>
      <c r="AS19" s="4"/>
      <c r="AT19" s="4"/>
      <c r="AU19" s="4"/>
      <c r="AV19" s="4"/>
      <c r="AW19" s="4"/>
      <c r="AX19" s="4"/>
      <c r="AY19" s="4"/>
      <c r="AZ19" s="4"/>
      <c r="BA19" s="4"/>
      <c r="BB19" s="4"/>
      <c r="BC19" s="4"/>
      <c r="BD19" s="4"/>
      <c r="BE19" s="4"/>
      <c r="BF19" s="4"/>
      <c r="BG19" s="4"/>
      <c r="BH19" s="4"/>
      <c r="BI19" s="4"/>
      <c r="BJ19" s="4"/>
      <c r="BK19" s="4"/>
      <c r="BL19" s="4"/>
      <c r="BM19" s="4"/>
      <c r="BN19" s="4"/>
      <c r="BO19" s="4"/>
      <c r="BP19" s="4"/>
      <c r="BQ19" s="4"/>
      <c r="BR19" s="4"/>
      <c r="BS19" s="4"/>
      <c r="BT19" s="4"/>
      <c r="BU19" s="4"/>
      <c r="BV19" s="4"/>
      <c r="BW19" s="4"/>
      <c r="BX19" s="4"/>
      <c r="BY19" s="4"/>
      <c r="BZ19" s="4"/>
      <c r="CA19" s="4"/>
      <c r="CB19" s="4"/>
      <c r="CC19" s="4"/>
      <c r="CD19" s="4"/>
      <c r="CE19" s="4"/>
      <c r="CF19" s="4"/>
      <c r="CG19" s="4"/>
      <c r="CH19" s="4"/>
      <c r="CI19" s="4"/>
      <c r="CJ19" s="4"/>
      <c r="CK19" s="4"/>
      <c r="CL19" s="4"/>
      <c r="CM19" s="4"/>
      <c r="CN19" s="4"/>
      <c r="CO19" s="4"/>
      <c r="CP19" s="4"/>
      <c r="CQ19" s="4"/>
      <c r="CR19" s="4"/>
      <c r="CS19" s="4"/>
      <c r="CT19" s="4"/>
      <c r="CU19" s="4"/>
      <c r="CV19" s="4"/>
      <c r="CW19" s="4"/>
      <c r="CX19" s="4"/>
      <c r="CY19" s="4"/>
      <c r="CZ19" s="4"/>
      <c r="DA19" s="4"/>
      <c r="DB19" s="4"/>
      <c r="DC19" s="4"/>
      <c r="DD19" s="4"/>
      <c r="DE19" s="4"/>
      <c r="DF19" s="4"/>
      <c r="DG19" s="4"/>
      <c r="DH19" s="4"/>
      <c r="DI19" s="4"/>
      <c r="DJ19" s="4"/>
      <c r="DK19" s="4"/>
      <c r="DL19" s="4"/>
      <c r="DM19" s="4"/>
      <c r="DN19" s="4"/>
      <c r="DO19" s="4"/>
      <c r="DP19" s="4"/>
      <c r="DQ19" s="4"/>
      <c r="DR19" s="4"/>
      <c r="DS19" s="4"/>
      <c r="DT19" s="4"/>
      <c r="DU19" s="4"/>
      <c r="DV19" s="4"/>
      <c r="DW19" s="4"/>
      <c r="DX19" s="4"/>
      <c r="DY19" s="4"/>
      <c r="DZ19" s="4"/>
      <c r="EA19" s="4"/>
      <c r="EB19" s="4"/>
      <c r="EC19" s="4"/>
      <c r="ED19" s="4"/>
      <c r="EE19" s="4"/>
      <c r="EF19" s="4"/>
      <c r="EG19" s="4"/>
      <c r="EH19" s="4"/>
      <c r="EI19" s="4"/>
      <c r="EJ19" s="4"/>
      <c r="EK19" s="4"/>
      <c r="EL19" s="4"/>
      <c r="EM19" s="4"/>
      <c r="EN19" s="4"/>
      <c r="EO19" s="4"/>
      <c r="EP19" s="4"/>
      <c r="EQ19" s="4"/>
      <c r="ER19" s="4"/>
      <c r="ES19" s="4"/>
      <c r="ET19" s="4"/>
      <c r="EU19" s="4"/>
      <c r="EV19" s="4"/>
      <c r="EW19" s="4"/>
      <c r="EX19" s="4"/>
      <c r="EY19" s="4"/>
      <c r="EZ19" s="4"/>
      <c r="FA19" s="4"/>
      <c r="FB19" s="4"/>
      <c r="FC19" s="4"/>
      <c r="FD19" s="4"/>
      <c r="FE19" s="4"/>
      <c r="FF19" s="4"/>
      <c r="FG19" s="4"/>
      <c r="FH19" s="4"/>
      <c r="FI19" s="4"/>
      <c r="FJ19" s="4"/>
      <c r="FK19" s="4"/>
      <c r="FL19" s="4"/>
      <c r="FM19" s="4"/>
      <c r="FN19" s="4"/>
      <c r="FO19" s="4"/>
      <c r="FP19" s="4"/>
      <c r="FQ19" s="4"/>
      <c r="FR19" s="4"/>
      <c r="FS19" s="4"/>
      <c r="FT19" s="4"/>
      <c r="FU19" s="4"/>
      <c r="FV19" s="4"/>
      <c r="FW19" s="4"/>
      <c r="FX19" s="4"/>
      <c r="FY19" s="4"/>
      <c r="FZ19" s="4"/>
      <c r="GA19" s="4"/>
      <c r="GB19" s="4"/>
      <c r="GC19" s="4"/>
      <c r="GD19" s="4"/>
      <c r="GE19" s="4"/>
      <c r="GF19" s="4"/>
      <c r="GG19" s="4"/>
      <c r="GH19" s="4"/>
      <c r="GI19" s="4"/>
      <c r="GJ19" s="4"/>
      <c r="GK19" s="4"/>
      <c r="GL19" s="4"/>
      <c r="GM19" s="4"/>
      <c r="GN19" s="4"/>
      <c r="GO19" s="4"/>
      <c r="GP19" s="4"/>
      <c r="GQ19" s="4"/>
      <c r="GR19" s="4"/>
      <c r="GS19" s="4"/>
      <c r="GT19" s="4"/>
      <c r="GU19" s="4"/>
      <c r="GV19" s="4"/>
      <c r="GW19" s="4"/>
      <c r="GX19" s="4"/>
      <c r="GY19" s="4"/>
      <c r="GZ19" s="4"/>
      <c r="HA19" s="4"/>
      <c r="HB19" s="4"/>
      <c r="HC19" s="4"/>
      <c r="HD19" s="4"/>
      <c r="HE19" s="4"/>
      <c r="HF19" s="4"/>
      <c r="HG19" s="4"/>
      <c r="HH19" s="4"/>
      <c r="HI19" s="4"/>
      <c r="HJ19" s="4"/>
      <c r="HK19" s="4"/>
      <c r="HL19" s="4"/>
      <c r="HM19" s="4"/>
      <c r="HN19" s="4"/>
      <c r="HO19" s="4"/>
      <c r="HP19" s="4"/>
      <c r="HQ19" s="4"/>
      <c r="HR19" s="4"/>
      <c r="HS19" s="4"/>
      <c r="HT19" s="4"/>
      <c r="HU19" s="4"/>
      <c r="HV19" s="4"/>
      <c r="HW19" s="4"/>
      <c r="HX19" s="4"/>
      <c r="HY19" s="4"/>
      <c r="HZ19" s="4"/>
      <c r="IA19" s="4"/>
      <c r="IB19" s="4"/>
      <c r="IC19" s="4"/>
      <c r="ID19" s="4"/>
      <c r="IE19" s="4"/>
      <c r="IF19" s="4"/>
      <c r="IG19" s="4"/>
      <c r="IH19" s="4"/>
      <c r="II19" s="4"/>
      <c r="IJ19" s="4"/>
      <c r="IK19" s="4"/>
      <c r="IL19" s="4"/>
      <c r="IM19" s="4"/>
      <c r="IN19" s="4"/>
      <c r="IO19" s="4"/>
      <c r="IP19" s="4"/>
      <c r="IQ19" s="4"/>
      <c r="IR19" s="4"/>
      <c r="IS19" s="4"/>
      <c r="IT19" s="4"/>
      <c r="IU19" s="4"/>
      <c r="IV19" s="4"/>
    </row>
    <row r="20" spans="1:256" x14ac:dyDescent="0.6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4"/>
      <c r="CP20" s="4"/>
      <c r="CQ20" s="4"/>
      <c r="CR20" s="4"/>
      <c r="CS20" s="4"/>
      <c r="CT20" s="4"/>
      <c r="CU20" s="4"/>
      <c r="CV20" s="4"/>
      <c r="CW20" s="4"/>
      <c r="CX20" s="4"/>
      <c r="CY20" s="4"/>
      <c r="CZ20" s="4"/>
      <c r="DA20" s="4"/>
      <c r="DB20" s="4"/>
      <c r="DC20" s="4"/>
      <c r="DD20" s="4"/>
      <c r="DE20" s="4"/>
      <c r="DF20" s="4"/>
      <c r="DG20" s="4"/>
      <c r="DH20" s="4"/>
      <c r="DI20" s="4"/>
      <c r="DJ20" s="4"/>
      <c r="DK20" s="4"/>
      <c r="DL20" s="4"/>
      <c r="DM20" s="4"/>
      <c r="DN20" s="4"/>
      <c r="DO20" s="4"/>
      <c r="DP20" s="4"/>
      <c r="DQ20" s="4"/>
      <c r="DR20" s="4"/>
      <c r="DS20" s="4"/>
      <c r="DT20" s="4"/>
      <c r="DU20" s="4"/>
      <c r="DV20" s="4"/>
      <c r="DW20" s="4"/>
      <c r="DX20" s="4"/>
      <c r="DY20" s="4"/>
      <c r="DZ20" s="4"/>
      <c r="EA20" s="4"/>
      <c r="EB20" s="4"/>
      <c r="EC20" s="4"/>
      <c r="ED20" s="4"/>
      <c r="EE20" s="4"/>
      <c r="EF20" s="4"/>
      <c r="EG20" s="4"/>
      <c r="EH20" s="4"/>
      <c r="EI20" s="4"/>
      <c r="EJ20" s="4"/>
      <c r="EK20" s="4"/>
      <c r="EL20" s="4"/>
      <c r="EM20" s="4"/>
      <c r="EN20" s="4"/>
      <c r="EO20" s="4"/>
      <c r="EP20" s="4"/>
      <c r="EQ20" s="4"/>
      <c r="ER20" s="4"/>
      <c r="ES20" s="4"/>
      <c r="ET20" s="4"/>
      <c r="EU20" s="4"/>
      <c r="EV20" s="4"/>
      <c r="EW20" s="4"/>
      <c r="EX20" s="4"/>
      <c r="EY20" s="4"/>
      <c r="EZ20" s="4"/>
      <c r="FA20" s="4"/>
      <c r="FB20" s="4"/>
      <c r="FC20" s="4"/>
      <c r="FD20" s="4"/>
      <c r="FE20" s="4"/>
      <c r="FF20" s="4"/>
      <c r="FG20" s="4"/>
      <c r="FH20" s="4"/>
      <c r="FI20" s="4"/>
      <c r="FJ20" s="4"/>
      <c r="FK20" s="4"/>
      <c r="FL20" s="4"/>
      <c r="FM20" s="4"/>
      <c r="FN20" s="4"/>
      <c r="FO20" s="4"/>
      <c r="FP20" s="4"/>
      <c r="FQ20" s="4"/>
      <c r="FR20" s="4"/>
      <c r="FS20" s="4"/>
      <c r="FT20" s="4"/>
      <c r="FU20" s="4"/>
      <c r="FV20" s="4"/>
      <c r="FW20" s="4"/>
      <c r="FX20" s="4"/>
      <c r="FY20" s="4"/>
      <c r="FZ20" s="4"/>
      <c r="GA20" s="4"/>
      <c r="GB20" s="4"/>
      <c r="GC20" s="4"/>
      <c r="GD20" s="4"/>
      <c r="GE20" s="4"/>
      <c r="GF20" s="4"/>
      <c r="GG20" s="4"/>
      <c r="GH20" s="4"/>
      <c r="GI20" s="4"/>
      <c r="GJ20" s="4"/>
      <c r="GK20" s="4"/>
      <c r="GL20" s="4"/>
      <c r="GM20" s="4"/>
      <c r="GN20" s="4"/>
      <c r="GO20" s="4"/>
      <c r="GP20" s="4"/>
      <c r="GQ20" s="4"/>
      <c r="GR20" s="4"/>
      <c r="GS20" s="4"/>
      <c r="GT20" s="4"/>
      <c r="GU20" s="4"/>
      <c r="GV20" s="4"/>
      <c r="GW20" s="4"/>
      <c r="GX20" s="4"/>
      <c r="GY20" s="4"/>
      <c r="GZ20" s="4"/>
      <c r="HA20" s="4"/>
      <c r="HB20" s="4"/>
      <c r="HC20" s="4"/>
      <c r="HD20" s="4"/>
      <c r="HE20" s="4"/>
      <c r="HF20" s="4"/>
      <c r="HG20" s="4"/>
      <c r="HH20" s="4"/>
      <c r="HI20" s="4"/>
      <c r="HJ20" s="4"/>
      <c r="HK20" s="4"/>
      <c r="HL20" s="4"/>
      <c r="HM20" s="4"/>
      <c r="HN20" s="4"/>
      <c r="HO20" s="4"/>
      <c r="HP20" s="4"/>
      <c r="HQ20" s="4"/>
      <c r="HR20" s="4"/>
      <c r="HS20" s="4"/>
      <c r="HT20" s="4"/>
      <c r="HU20" s="4"/>
      <c r="HV20" s="4"/>
      <c r="HW20" s="4"/>
      <c r="HX20" s="4"/>
      <c r="HY20" s="4"/>
      <c r="HZ20" s="4"/>
      <c r="IA20" s="4"/>
      <c r="IB20" s="4"/>
      <c r="IC20" s="4"/>
      <c r="ID20" s="4"/>
      <c r="IE20" s="4"/>
      <c r="IF20" s="4"/>
      <c r="IG20" s="4"/>
      <c r="IH20" s="4"/>
      <c r="II20" s="4"/>
      <c r="IJ20" s="4"/>
      <c r="IK20" s="4"/>
      <c r="IL20" s="4"/>
      <c r="IM20" s="4"/>
      <c r="IN20" s="4"/>
      <c r="IO20" s="4"/>
      <c r="IP20" s="4"/>
      <c r="IQ20" s="4"/>
      <c r="IR20" s="4"/>
      <c r="IS20" s="4"/>
      <c r="IT20" s="4"/>
      <c r="IU20" s="4"/>
      <c r="IV20" s="4"/>
    </row>
    <row r="21" spans="1:256" x14ac:dyDescent="0.6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</row>
    <row r="22" spans="1:256" x14ac:dyDescent="0.6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</row>
    <row r="23" spans="1:256" x14ac:dyDescent="0.6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</row>
    <row r="24" spans="1:256" x14ac:dyDescent="0.6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</row>
    <row r="25" spans="1:256" x14ac:dyDescent="0.6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</row>
    <row r="26" spans="1:256" x14ac:dyDescent="0.6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</row>
    <row r="27" spans="1:256" x14ac:dyDescent="0.6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</row>
    <row r="28" spans="1:256" x14ac:dyDescent="0.6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</row>
    <row r="29" spans="1:256" x14ac:dyDescent="0.6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</row>
    <row r="30" spans="1:256" x14ac:dyDescent="0.6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</row>
    <row r="31" spans="1:256" x14ac:dyDescent="0.6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</row>
    <row r="32" spans="1:256" x14ac:dyDescent="0.6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</row>
    <row r="33" spans="1:256" x14ac:dyDescent="0.6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</row>
    <row r="34" spans="1:256" x14ac:dyDescent="0.6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</row>
    <row r="35" spans="1:256" x14ac:dyDescent="0.6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</row>
    <row r="36" spans="1:256" x14ac:dyDescent="0.6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</row>
    <row r="37" spans="1:256" x14ac:dyDescent="0.6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</row>
    <row r="38" spans="1:256" x14ac:dyDescent="0.6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</row>
    <row r="39" spans="1:256" x14ac:dyDescent="0.6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</row>
    <row r="40" spans="1:256" x14ac:dyDescent="0.6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</row>
    <row r="41" spans="1:256" x14ac:dyDescent="0.6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</row>
    <row r="42" spans="1:256" x14ac:dyDescent="0.6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</row>
    <row r="43" spans="1:256" x14ac:dyDescent="0.6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</row>
    <row r="44" spans="1:256" x14ac:dyDescent="0.6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</row>
    <row r="45" spans="1:256" x14ac:dyDescent="0.6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  <c r="AC45" s="4"/>
      <c r="AD45" s="4"/>
      <c r="AE45" s="4"/>
      <c r="AF45" s="4"/>
      <c r="AG45" s="4"/>
      <c r="AH45" s="4"/>
      <c r="AI45" s="4"/>
      <c r="AJ45" s="4"/>
      <c r="AK45" s="4"/>
      <c r="AL45" s="4"/>
      <c r="AM45" s="4"/>
      <c r="AN45" s="4"/>
      <c r="AO45" s="4"/>
      <c r="AP45" s="4"/>
      <c r="AQ45" s="4"/>
      <c r="AR45" s="4"/>
      <c r="AS45" s="4"/>
      <c r="AT45" s="4"/>
      <c r="AU45" s="4"/>
      <c r="AV45" s="4"/>
      <c r="AW45" s="4"/>
      <c r="AX45" s="4"/>
      <c r="AY45" s="4"/>
      <c r="AZ45" s="4"/>
      <c r="BA45" s="4"/>
      <c r="BB45" s="4"/>
      <c r="BC45" s="4"/>
      <c r="BD45" s="4"/>
      <c r="BE45" s="4"/>
      <c r="BF45" s="4"/>
      <c r="BG45" s="4"/>
      <c r="BH45" s="4"/>
      <c r="BI45" s="4"/>
      <c r="BJ45" s="4"/>
      <c r="BK45" s="4"/>
      <c r="BL45" s="4"/>
      <c r="BM45" s="4"/>
      <c r="BN45" s="4"/>
      <c r="BO45" s="4"/>
      <c r="BP45" s="4"/>
      <c r="BQ45" s="4"/>
      <c r="BR45" s="4"/>
      <c r="BS45" s="4"/>
      <c r="BT45" s="4"/>
      <c r="BU45" s="4"/>
      <c r="BV45" s="4"/>
      <c r="BW45" s="4"/>
      <c r="BX45" s="4"/>
      <c r="BY45" s="4"/>
      <c r="BZ45" s="4"/>
      <c r="CA45" s="4"/>
      <c r="CB45" s="4"/>
      <c r="CC45" s="4"/>
      <c r="CD45" s="4"/>
      <c r="CE45" s="4"/>
      <c r="CF45" s="4"/>
      <c r="CG45" s="4"/>
      <c r="CH45" s="4"/>
      <c r="CI45" s="4"/>
      <c r="CJ45" s="4"/>
      <c r="CK45" s="4"/>
      <c r="CL45" s="4"/>
      <c r="CM45" s="4"/>
      <c r="CN45" s="4"/>
      <c r="CO45" s="4"/>
      <c r="CP45" s="4"/>
      <c r="CQ45" s="4"/>
      <c r="CR45" s="4"/>
      <c r="CS45" s="4"/>
      <c r="CT45" s="4"/>
      <c r="CU45" s="4"/>
      <c r="CV45" s="4"/>
      <c r="CW45" s="4"/>
      <c r="CX45" s="4"/>
      <c r="CY45" s="4"/>
      <c r="CZ45" s="4"/>
      <c r="DA45" s="4"/>
      <c r="DB45" s="4"/>
      <c r="DC45" s="4"/>
      <c r="DD45" s="4"/>
      <c r="DE45" s="4"/>
      <c r="DF45" s="4"/>
      <c r="DG45" s="4"/>
      <c r="DH45" s="4"/>
      <c r="DI45" s="4"/>
      <c r="DJ45" s="4"/>
      <c r="DK45" s="4"/>
      <c r="DL45" s="4"/>
      <c r="DM45" s="4"/>
      <c r="DN45" s="4"/>
      <c r="DO45" s="4"/>
      <c r="DP45" s="4"/>
      <c r="DQ45" s="4"/>
      <c r="DR45" s="4"/>
      <c r="DS45" s="4"/>
      <c r="DT45" s="4"/>
      <c r="DU45" s="4"/>
      <c r="DV45" s="4"/>
      <c r="DW45" s="4"/>
      <c r="DX45" s="4"/>
      <c r="DY45" s="4"/>
      <c r="DZ45" s="4"/>
      <c r="EA45" s="4"/>
      <c r="EB45" s="4"/>
      <c r="EC45" s="4"/>
      <c r="ED45" s="4"/>
      <c r="EE45" s="4"/>
      <c r="EF45" s="4"/>
      <c r="EG45" s="4"/>
      <c r="EH45" s="4"/>
      <c r="EI45" s="4"/>
      <c r="EJ45" s="4"/>
      <c r="EK45" s="4"/>
      <c r="EL45" s="4"/>
      <c r="EM45" s="4"/>
      <c r="EN45" s="4"/>
      <c r="EO45" s="4"/>
      <c r="EP45" s="4"/>
      <c r="EQ45" s="4"/>
      <c r="ER45" s="4"/>
      <c r="ES45" s="4"/>
      <c r="ET45" s="4"/>
      <c r="EU45" s="4"/>
      <c r="EV45" s="4"/>
      <c r="EW45" s="4"/>
      <c r="EX45" s="4"/>
      <c r="EY45" s="4"/>
      <c r="EZ45" s="4"/>
      <c r="FA45" s="4"/>
      <c r="FB45" s="4"/>
      <c r="FC45" s="4"/>
      <c r="FD45" s="4"/>
      <c r="FE45" s="4"/>
      <c r="FF45" s="4"/>
      <c r="FG45" s="4"/>
      <c r="FH45" s="4"/>
      <c r="FI45" s="4"/>
      <c r="FJ45" s="4"/>
      <c r="FK45" s="4"/>
      <c r="FL45" s="4"/>
      <c r="FM45" s="4"/>
      <c r="FN45" s="4"/>
      <c r="FO45" s="4"/>
      <c r="FP45" s="4"/>
      <c r="FQ45" s="4"/>
      <c r="FR45" s="4"/>
      <c r="FS45" s="4"/>
      <c r="FT45" s="4"/>
      <c r="FU45" s="4"/>
      <c r="FV45" s="4"/>
      <c r="FW45" s="4"/>
      <c r="FX45" s="4"/>
      <c r="FY45" s="4"/>
      <c r="FZ45" s="4"/>
      <c r="GA45" s="4"/>
      <c r="GB45" s="4"/>
      <c r="GC45" s="4"/>
      <c r="GD45" s="4"/>
      <c r="GE45" s="4"/>
      <c r="GF45" s="4"/>
      <c r="GG45" s="4"/>
      <c r="GH45" s="4"/>
      <c r="GI45" s="4"/>
      <c r="GJ45" s="4"/>
      <c r="GK45" s="4"/>
      <c r="GL45" s="4"/>
      <c r="GM45" s="4"/>
      <c r="GN45" s="4"/>
      <c r="GO45" s="4"/>
      <c r="GP45" s="4"/>
      <c r="GQ45" s="4"/>
      <c r="GR45" s="4"/>
      <c r="GS45" s="4"/>
      <c r="GT45" s="4"/>
      <c r="GU45" s="4"/>
      <c r="GV45" s="4"/>
      <c r="GW45" s="4"/>
      <c r="GX45" s="4"/>
      <c r="GY45" s="4"/>
      <c r="GZ45" s="4"/>
      <c r="HA45" s="4"/>
      <c r="HB45" s="4"/>
      <c r="HC45" s="4"/>
      <c r="HD45" s="4"/>
      <c r="HE45" s="4"/>
      <c r="HF45" s="4"/>
      <c r="HG45" s="4"/>
      <c r="HH45" s="4"/>
      <c r="HI45" s="4"/>
      <c r="HJ45" s="4"/>
      <c r="HK45" s="4"/>
      <c r="HL45" s="4"/>
      <c r="HM45" s="4"/>
      <c r="HN45" s="4"/>
      <c r="HO45" s="4"/>
      <c r="HP45" s="4"/>
      <c r="HQ45" s="4"/>
      <c r="HR45" s="4"/>
      <c r="HS45" s="4"/>
      <c r="HT45" s="4"/>
      <c r="HU45" s="4"/>
      <c r="HV45" s="4"/>
      <c r="HW45" s="4"/>
      <c r="HX45" s="4"/>
      <c r="HY45" s="4"/>
      <c r="HZ45" s="4"/>
      <c r="IA45" s="4"/>
      <c r="IB45" s="4"/>
      <c r="IC45" s="4"/>
      <c r="ID45" s="4"/>
      <c r="IE45" s="4"/>
      <c r="IF45" s="4"/>
      <c r="IG45" s="4"/>
      <c r="IH45" s="4"/>
      <c r="II45" s="4"/>
      <c r="IJ45" s="4"/>
      <c r="IK45" s="4"/>
      <c r="IL45" s="4"/>
      <c r="IM45" s="4"/>
      <c r="IN45" s="4"/>
      <c r="IO45" s="4"/>
      <c r="IP45" s="4"/>
      <c r="IQ45" s="4"/>
      <c r="IR45" s="4"/>
      <c r="IS45" s="4"/>
      <c r="IT45" s="4"/>
      <c r="IU45" s="4"/>
      <c r="IV45" s="4"/>
    </row>
    <row r="46" spans="1:256" x14ac:dyDescent="0.6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  <c r="AC46" s="4"/>
      <c r="AD46" s="4"/>
      <c r="AE46" s="4"/>
      <c r="AF46" s="4"/>
      <c r="AG46" s="4"/>
      <c r="AH46" s="4"/>
      <c r="AI46" s="4"/>
      <c r="AJ46" s="4"/>
      <c r="AK46" s="4"/>
      <c r="AL46" s="4"/>
      <c r="AM46" s="4"/>
      <c r="AN46" s="4"/>
      <c r="AO46" s="4"/>
      <c r="AP46" s="4"/>
      <c r="AQ46" s="4"/>
      <c r="AR46" s="4"/>
      <c r="AS46" s="4"/>
      <c r="AT46" s="4"/>
      <c r="AU46" s="4"/>
      <c r="AV46" s="4"/>
      <c r="AW46" s="4"/>
      <c r="AX46" s="4"/>
      <c r="AY46" s="4"/>
      <c r="AZ46" s="4"/>
      <c r="BA46" s="4"/>
      <c r="BB46" s="4"/>
      <c r="BC46" s="4"/>
      <c r="BD46" s="4"/>
      <c r="BE46" s="4"/>
      <c r="BF46" s="4"/>
      <c r="BG46" s="4"/>
      <c r="BH46" s="4"/>
      <c r="BI46" s="4"/>
      <c r="BJ46" s="4"/>
      <c r="BK46" s="4"/>
      <c r="BL46" s="4"/>
      <c r="BM46" s="4"/>
      <c r="BN46" s="4"/>
      <c r="BO46" s="4"/>
      <c r="BP46" s="4"/>
      <c r="BQ46" s="4"/>
      <c r="BR46" s="4"/>
      <c r="BS46" s="4"/>
      <c r="BT46" s="4"/>
      <c r="BU46" s="4"/>
      <c r="BV46" s="4"/>
      <c r="BW46" s="4"/>
      <c r="BX46" s="4"/>
      <c r="BY46" s="4"/>
      <c r="BZ46" s="4"/>
      <c r="CA46" s="4"/>
      <c r="CB46" s="4"/>
      <c r="CC46" s="4"/>
      <c r="CD46" s="4"/>
      <c r="CE46" s="4"/>
      <c r="CF46" s="4"/>
      <c r="CG46" s="4"/>
      <c r="CH46" s="4"/>
      <c r="CI46" s="4"/>
      <c r="CJ46" s="4"/>
      <c r="CK46" s="4"/>
      <c r="CL46" s="4"/>
      <c r="CM46" s="4"/>
      <c r="CN46" s="4"/>
      <c r="CO46" s="4"/>
      <c r="CP46" s="4"/>
      <c r="CQ46" s="4"/>
      <c r="CR46" s="4"/>
      <c r="CS46" s="4"/>
      <c r="CT46" s="4"/>
      <c r="CU46" s="4"/>
      <c r="CV46" s="4"/>
      <c r="CW46" s="4"/>
      <c r="CX46" s="4"/>
      <c r="CY46" s="4"/>
      <c r="CZ46" s="4"/>
      <c r="DA46" s="4"/>
      <c r="DB46" s="4"/>
      <c r="DC46" s="4"/>
      <c r="DD46" s="4"/>
      <c r="DE46" s="4"/>
      <c r="DF46" s="4"/>
      <c r="DG46" s="4"/>
      <c r="DH46" s="4"/>
      <c r="DI46" s="4"/>
      <c r="DJ46" s="4"/>
      <c r="DK46" s="4"/>
      <c r="DL46" s="4"/>
      <c r="DM46" s="4"/>
      <c r="DN46" s="4"/>
      <c r="DO46" s="4"/>
      <c r="DP46" s="4"/>
      <c r="DQ46" s="4"/>
      <c r="DR46" s="4"/>
      <c r="DS46" s="4"/>
      <c r="DT46" s="4"/>
      <c r="DU46" s="4"/>
      <c r="DV46" s="4"/>
      <c r="DW46" s="4"/>
      <c r="DX46" s="4"/>
      <c r="DY46" s="4"/>
      <c r="DZ46" s="4"/>
      <c r="EA46" s="4"/>
      <c r="EB46" s="4"/>
      <c r="EC46" s="4"/>
      <c r="ED46" s="4"/>
      <c r="EE46" s="4"/>
      <c r="EF46" s="4"/>
      <c r="EG46" s="4"/>
      <c r="EH46" s="4"/>
      <c r="EI46" s="4"/>
      <c r="EJ46" s="4"/>
      <c r="EK46" s="4"/>
      <c r="EL46" s="4"/>
      <c r="EM46" s="4"/>
      <c r="EN46" s="4"/>
      <c r="EO46" s="4"/>
      <c r="EP46" s="4"/>
      <c r="EQ46" s="4"/>
      <c r="ER46" s="4"/>
      <c r="ES46" s="4"/>
      <c r="ET46" s="4"/>
      <c r="EU46" s="4"/>
      <c r="EV46" s="4"/>
      <c r="EW46" s="4"/>
      <c r="EX46" s="4"/>
      <c r="EY46" s="4"/>
      <c r="EZ46" s="4"/>
      <c r="FA46" s="4"/>
      <c r="FB46" s="4"/>
      <c r="FC46" s="4"/>
      <c r="FD46" s="4"/>
      <c r="FE46" s="4"/>
      <c r="FF46" s="4"/>
      <c r="FG46" s="4"/>
      <c r="FH46" s="4"/>
      <c r="FI46" s="4"/>
      <c r="FJ46" s="4"/>
      <c r="FK46" s="4"/>
      <c r="FL46" s="4"/>
      <c r="FM46" s="4"/>
      <c r="FN46" s="4"/>
      <c r="FO46" s="4"/>
      <c r="FP46" s="4"/>
      <c r="FQ46" s="4"/>
      <c r="FR46" s="4"/>
      <c r="FS46" s="4"/>
      <c r="FT46" s="4"/>
      <c r="FU46" s="4"/>
      <c r="FV46" s="4"/>
      <c r="FW46" s="4"/>
      <c r="FX46" s="4"/>
      <c r="FY46" s="4"/>
      <c r="FZ46" s="4"/>
      <c r="GA46" s="4"/>
      <c r="GB46" s="4"/>
      <c r="GC46" s="4"/>
      <c r="GD46" s="4"/>
      <c r="GE46" s="4"/>
      <c r="GF46" s="4"/>
      <c r="GG46" s="4"/>
      <c r="GH46" s="4"/>
      <c r="GI46" s="4"/>
      <c r="GJ46" s="4"/>
      <c r="GK46" s="4"/>
      <c r="GL46" s="4"/>
      <c r="GM46" s="4"/>
      <c r="GN46" s="4"/>
      <c r="GO46" s="4"/>
      <c r="GP46" s="4"/>
      <c r="GQ46" s="4"/>
      <c r="GR46" s="4"/>
      <c r="GS46" s="4"/>
      <c r="GT46" s="4"/>
      <c r="GU46" s="4"/>
      <c r="GV46" s="4"/>
      <c r="GW46" s="4"/>
      <c r="GX46" s="4"/>
      <c r="GY46" s="4"/>
      <c r="GZ46" s="4"/>
      <c r="HA46" s="4"/>
      <c r="HB46" s="4"/>
      <c r="HC46" s="4"/>
      <c r="HD46" s="4"/>
      <c r="HE46" s="4"/>
      <c r="HF46" s="4"/>
      <c r="HG46" s="4"/>
      <c r="HH46" s="4"/>
      <c r="HI46" s="4"/>
      <c r="HJ46" s="4"/>
      <c r="HK46" s="4"/>
      <c r="HL46" s="4"/>
      <c r="HM46" s="4"/>
      <c r="HN46" s="4"/>
      <c r="HO46" s="4"/>
      <c r="HP46" s="4"/>
      <c r="HQ46" s="4"/>
      <c r="HR46" s="4"/>
      <c r="HS46" s="4"/>
      <c r="HT46" s="4"/>
      <c r="HU46" s="4"/>
      <c r="HV46" s="4"/>
      <c r="HW46" s="4"/>
      <c r="HX46" s="4"/>
      <c r="HY46" s="4"/>
      <c r="HZ46" s="4"/>
      <c r="IA46" s="4"/>
      <c r="IB46" s="4"/>
      <c r="IC46" s="4"/>
      <c r="ID46" s="4"/>
      <c r="IE46" s="4"/>
      <c r="IF46" s="4"/>
      <c r="IG46" s="4"/>
      <c r="IH46" s="4"/>
      <c r="II46" s="4"/>
      <c r="IJ46" s="4"/>
      <c r="IK46" s="4"/>
      <c r="IL46" s="4"/>
      <c r="IM46" s="4"/>
      <c r="IN46" s="4"/>
      <c r="IO46" s="4"/>
      <c r="IP46" s="4"/>
      <c r="IQ46" s="4"/>
      <c r="IR46" s="4"/>
      <c r="IS46" s="4"/>
      <c r="IT46" s="4"/>
      <c r="IU46" s="4"/>
      <c r="IV46" s="4"/>
    </row>
    <row r="47" spans="1:256" x14ac:dyDescent="0.6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  <c r="AC47" s="4"/>
      <c r="AD47" s="4"/>
      <c r="AE47" s="4"/>
      <c r="AF47" s="4"/>
      <c r="AG47" s="4"/>
      <c r="AH47" s="4"/>
      <c r="AI47" s="4"/>
      <c r="AJ47" s="4"/>
      <c r="AK47" s="4"/>
      <c r="AL47" s="4"/>
      <c r="AM47" s="4"/>
      <c r="AN47" s="4"/>
      <c r="AO47" s="4"/>
      <c r="AP47" s="4"/>
      <c r="AQ47" s="4"/>
      <c r="AR47" s="4"/>
      <c r="AS47" s="4"/>
      <c r="AT47" s="4"/>
      <c r="AU47" s="4"/>
      <c r="AV47" s="4"/>
      <c r="AW47" s="4"/>
      <c r="AX47" s="4"/>
      <c r="AY47" s="4"/>
      <c r="AZ47" s="4"/>
      <c r="BA47" s="4"/>
      <c r="BB47" s="4"/>
      <c r="BC47" s="4"/>
      <c r="BD47" s="4"/>
      <c r="BE47" s="4"/>
      <c r="BF47" s="4"/>
      <c r="BG47" s="4"/>
      <c r="BH47" s="4"/>
      <c r="BI47" s="4"/>
      <c r="BJ47" s="4"/>
      <c r="BK47" s="4"/>
      <c r="BL47" s="4"/>
      <c r="BM47" s="4"/>
      <c r="BN47" s="4"/>
      <c r="BO47" s="4"/>
      <c r="BP47" s="4"/>
      <c r="BQ47" s="4"/>
      <c r="BR47" s="4"/>
      <c r="BS47" s="4"/>
      <c r="BT47" s="4"/>
      <c r="BU47" s="4"/>
      <c r="BV47" s="4"/>
      <c r="BW47" s="4"/>
      <c r="BX47" s="4"/>
      <c r="BY47" s="4"/>
      <c r="BZ47" s="4"/>
      <c r="CA47" s="4"/>
      <c r="CB47" s="4"/>
      <c r="CC47" s="4"/>
      <c r="CD47" s="4"/>
      <c r="CE47" s="4"/>
      <c r="CF47" s="4"/>
      <c r="CG47" s="4"/>
      <c r="CH47" s="4"/>
      <c r="CI47" s="4"/>
      <c r="CJ47" s="4"/>
      <c r="CK47" s="4"/>
      <c r="CL47" s="4"/>
      <c r="CM47" s="4"/>
      <c r="CN47" s="4"/>
      <c r="CO47" s="4"/>
      <c r="CP47" s="4"/>
      <c r="CQ47" s="4"/>
      <c r="CR47" s="4"/>
      <c r="CS47" s="4"/>
      <c r="CT47" s="4"/>
      <c r="CU47" s="4"/>
      <c r="CV47" s="4"/>
      <c r="CW47" s="4"/>
      <c r="CX47" s="4"/>
      <c r="CY47" s="4"/>
      <c r="CZ47" s="4"/>
      <c r="DA47" s="4"/>
      <c r="DB47" s="4"/>
      <c r="DC47" s="4"/>
      <c r="DD47" s="4"/>
      <c r="DE47" s="4"/>
      <c r="DF47" s="4"/>
      <c r="DG47" s="4"/>
      <c r="DH47" s="4"/>
      <c r="DI47" s="4"/>
      <c r="DJ47" s="4"/>
      <c r="DK47" s="4"/>
      <c r="DL47" s="4"/>
      <c r="DM47" s="4"/>
      <c r="DN47" s="4"/>
      <c r="DO47" s="4"/>
      <c r="DP47" s="4"/>
      <c r="DQ47" s="4"/>
      <c r="DR47" s="4"/>
      <c r="DS47" s="4"/>
      <c r="DT47" s="4"/>
      <c r="DU47" s="4"/>
      <c r="DV47" s="4"/>
      <c r="DW47" s="4"/>
      <c r="DX47" s="4"/>
      <c r="DY47" s="4"/>
      <c r="DZ47" s="4"/>
      <c r="EA47" s="4"/>
      <c r="EB47" s="4"/>
      <c r="EC47" s="4"/>
      <c r="ED47" s="4"/>
      <c r="EE47" s="4"/>
      <c r="EF47" s="4"/>
      <c r="EG47" s="4"/>
      <c r="EH47" s="4"/>
      <c r="EI47" s="4"/>
      <c r="EJ47" s="4"/>
      <c r="EK47" s="4"/>
      <c r="EL47" s="4"/>
      <c r="EM47" s="4"/>
      <c r="EN47" s="4"/>
      <c r="EO47" s="4"/>
      <c r="EP47" s="4"/>
      <c r="EQ47" s="4"/>
      <c r="ER47" s="4"/>
      <c r="ES47" s="4"/>
      <c r="ET47" s="4"/>
      <c r="EU47" s="4"/>
      <c r="EV47" s="4"/>
      <c r="EW47" s="4"/>
      <c r="EX47" s="4"/>
      <c r="EY47" s="4"/>
      <c r="EZ47" s="4"/>
      <c r="FA47" s="4"/>
      <c r="FB47" s="4"/>
      <c r="FC47" s="4"/>
      <c r="FD47" s="4"/>
      <c r="FE47" s="4"/>
      <c r="FF47" s="4"/>
      <c r="FG47" s="4"/>
      <c r="FH47" s="4"/>
      <c r="FI47" s="4"/>
      <c r="FJ47" s="4"/>
      <c r="FK47" s="4"/>
      <c r="FL47" s="4"/>
      <c r="FM47" s="4"/>
      <c r="FN47" s="4"/>
      <c r="FO47" s="4"/>
      <c r="FP47" s="4"/>
      <c r="FQ47" s="4"/>
      <c r="FR47" s="4"/>
      <c r="FS47" s="4"/>
      <c r="FT47" s="4"/>
      <c r="FU47" s="4"/>
      <c r="FV47" s="4"/>
      <c r="FW47" s="4"/>
      <c r="FX47" s="4"/>
      <c r="FY47" s="4"/>
      <c r="FZ47" s="4"/>
      <c r="GA47" s="4"/>
      <c r="GB47" s="4"/>
      <c r="GC47" s="4"/>
      <c r="GD47" s="4"/>
      <c r="GE47" s="4"/>
      <c r="GF47" s="4"/>
      <c r="GG47" s="4"/>
      <c r="GH47" s="4"/>
      <c r="GI47" s="4"/>
      <c r="GJ47" s="4"/>
      <c r="GK47" s="4"/>
      <c r="GL47" s="4"/>
      <c r="GM47" s="4"/>
      <c r="GN47" s="4"/>
      <c r="GO47" s="4"/>
      <c r="GP47" s="4"/>
      <c r="GQ47" s="4"/>
      <c r="GR47" s="4"/>
      <c r="GS47" s="4"/>
      <c r="GT47" s="4"/>
      <c r="GU47" s="4"/>
      <c r="GV47" s="4"/>
      <c r="GW47" s="4"/>
      <c r="GX47" s="4"/>
      <c r="GY47" s="4"/>
      <c r="GZ47" s="4"/>
      <c r="HA47" s="4"/>
      <c r="HB47" s="4"/>
      <c r="HC47" s="4"/>
      <c r="HD47" s="4"/>
      <c r="HE47" s="4"/>
      <c r="HF47" s="4"/>
      <c r="HG47" s="4"/>
      <c r="HH47" s="4"/>
      <c r="HI47" s="4"/>
      <c r="HJ47" s="4"/>
      <c r="HK47" s="4"/>
      <c r="HL47" s="4"/>
      <c r="HM47" s="4"/>
      <c r="HN47" s="4"/>
      <c r="HO47" s="4"/>
      <c r="HP47" s="4"/>
      <c r="HQ47" s="4"/>
      <c r="HR47" s="4"/>
      <c r="HS47" s="4"/>
      <c r="HT47" s="4"/>
      <c r="HU47" s="4"/>
      <c r="HV47" s="4"/>
      <c r="HW47" s="4"/>
      <c r="HX47" s="4"/>
      <c r="HY47" s="4"/>
      <c r="HZ47" s="4"/>
      <c r="IA47" s="4"/>
      <c r="IB47" s="4"/>
      <c r="IC47" s="4"/>
      <c r="ID47" s="4"/>
      <c r="IE47" s="4"/>
      <c r="IF47" s="4"/>
      <c r="IG47" s="4"/>
      <c r="IH47" s="4"/>
      <c r="II47" s="4"/>
      <c r="IJ47" s="4"/>
      <c r="IK47" s="4"/>
      <c r="IL47" s="4"/>
      <c r="IM47" s="4"/>
      <c r="IN47" s="4"/>
      <c r="IO47" s="4"/>
      <c r="IP47" s="4"/>
      <c r="IQ47" s="4"/>
      <c r="IR47" s="4"/>
      <c r="IS47" s="4"/>
      <c r="IT47" s="4"/>
      <c r="IU47" s="4"/>
      <c r="IV47" s="4"/>
    </row>
    <row r="48" spans="1:256" x14ac:dyDescent="0.6">
      <c r="A48" s="250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  <c r="AC48" s="4"/>
      <c r="AD48" s="4"/>
      <c r="AE48" s="4"/>
      <c r="AF48" s="4"/>
      <c r="AG48" s="4"/>
      <c r="AH48" s="4"/>
      <c r="AI48" s="4"/>
      <c r="AJ48" s="4"/>
      <c r="AK48" s="4"/>
      <c r="AL48" s="4"/>
      <c r="AM48" s="4"/>
      <c r="AN48" s="4"/>
      <c r="AO48" s="4"/>
      <c r="AP48" s="4"/>
      <c r="AQ48" s="4"/>
      <c r="AR48" s="4"/>
      <c r="AS48" s="4"/>
      <c r="AT48" s="4"/>
      <c r="AU48" s="4"/>
      <c r="AV48" s="4"/>
      <c r="AW48" s="4"/>
      <c r="AX48" s="4"/>
      <c r="AY48" s="4"/>
      <c r="AZ48" s="4"/>
      <c r="BA48" s="4"/>
      <c r="BB48" s="4"/>
      <c r="BC48" s="4"/>
      <c r="BD48" s="4"/>
      <c r="BE48" s="4"/>
      <c r="BF48" s="4"/>
      <c r="BG48" s="4"/>
      <c r="BH48" s="4"/>
      <c r="BI48" s="4"/>
      <c r="BJ48" s="4"/>
      <c r="BK48" s="4"/>
      <c r="BL48" s="4"/>
      <c r="BM48" s="4"/>
      <c r="BN48" s="4"/>
      <c r="BO48" s="4"/>
      <c r="BP48" s="4"/>
      <c r="BQ48" s="4"/>
      <c r="BR48" s="4"/>
      <c r="BS48" s="4"/>
      <c r="BT48" s="4"/>
      <c r="BU48" s="4"/>
      <c r="BV48" s="4"/>
      <c r="BW48" s="4"/>
      <c r="BX48" s="4"/>
      <c r="BY48" s="4"/>
      <c r="BZ48" s="4"/>
      <c r="CA48" s="4"/>
      <c r="CB48" s="4"/>
      <c r="CC48" s="4"/>
      <c r="CD48" s="4"/>
      <c r="CE48" s="4"/>
      <c r="CF48" s="4"/>
      <c r="CG48" s="4"/>
      <c r="CH48" s="4"/>
      <c r="CI48" s="4"/>
      <c r="CJ48" s="4"/>
      <c r="CK48" s="4"/>
      <c r="CL48" s="4"/>
      <c r="CM48" s="4"/>
      <c r="CN48" s="4"/>
      <c r="CO48" s="4"/>
      <c r="CP48" s="4"/>
      <c r="CQ48" s="4"/>
      <c r="CR48" s="4"/>
      <c r="CS48" s="4"/>
      <c r="CT48" s="4"/>
      <c r="CU48" s="4"/>
      <c r="CV48" s="4"/>
      <c r="CW48" s="4"/>
      <c r="CX48" s="4"/>
      <c r="CY48" s="4"/>
      <c r="CZ48" s="4"/>
      <c r="DA48" s="4"/>
      <c r="DB48" s="4"/>
      <c r="DC48" s="4"/>
      <c r="DD48" s="4"/>
      <c r="DE48" s="4"/>
      <c r="DF48" s="4"/>
      <c r="DG48" s="4"/>
      <c r="DH48" s="4"/>
      <c r="DI48" s="4"/>
      <c r="DJ48" s="4"/>
      <c r="DK48" s="4"/>
      <c r="DL48" s="4"/>
      <c r="DM48" s="4"/>
      <c r="DN48" s="4"/>
      <c r="DO48" s="4"/>
      <c r="DP48" s="4"/>
      <c r="DQ48" s="4"/>
      <c r="DR48" s="4"/>
      <c r="DS48" s="4"/>
      <c r="DT48" s="4"/>
      <c r="DU48" s="4"/>
      <c r="DV48" s="4"/>
      <c r="DW48" s="4"/>
      <c r="DX48" s="4"/>
      <c r="DY48" s="4"/>
      <c r="DZ48" s="4"/>
      <c r="EA48" s="4"/>
      <c r="EB48" s="4"/>
      <c r="EC48" s="4"/>
      <c r="ED48" s="4"/>
      <c r="EE48" s="4"/>
      <c r="EF48" s="4"/>
      <c r="EG48" s="4"/>
      <c r="EH48" s="4"/>
      <c r="EI48" s="4"/>
      <c r="EJ48" s="4"/>
      <c r="EK48" s="4"/>
      <c r="EL48" s="4"/>
      <c r="EM48" s="4"/>
      <c r="EN48" s="4"/>
      <c r="EO48" s="4"/>
      <c r="EP48" s="4"/>
      <c r="EQ48" s="4"/>
      <c r="ER48" s="4"/>
      <c r="ES48" s="4"/>
      <c r="ET48" s="4"/>
      <c r="EU48" s="4"/>
      <c r="EV48" s="4"/>
      <c r="EW48" s="4"/>
      <c r="EX48" s="4"/>
      <c r="EY48" s="4"/>
      <c r="EZ48" s="4"/>
      <c r="FA48" s="4"/>
      <c r="FB48" s="4"/>
      <c r="FC48" s="4"/>
      <c r="FD48" s="4"/>
      <c r="FE48" s="4"/>
      <c r="FF48" s="4"/>
      <c r="FG48" s="4"/>
      <c r="FH48" s="4"/>
      <c r="FI48" s="4"/>
      <c r="FJ48" s="4"/>
      <c r="FK48" s="4"/>
      <c r="FL48" s="4"/>
      <c r="FM48" s="4"/>
      <c r="FN48" s="4"/>
      <c r="FO48" s="4"/>
      <c r="FP48" s="4"/>
      <c r="FQ48" s="4"/>
      <c r="FR48" s="4"/>
      <c r="FS48" s="4"/>
      <c r="FT48" s="4"/>
      <c r="FU48" s="4"/>
      <c r="FV48" s="4"/>
      <c r="FW48" s="4"/>
      <c r="FX48" s="4"/>
      <c r="FY48" s="4"/>
      <c r="FZ48" s="4"/>
      <c r="GA48" s="4"/>
      <c r="GB48" s="4"/>
      <c r="GC48" s="4"/>
      <c r="GD48" s="4"/>
      <c r="GE48" s="4"/>
      <c r="GF48" s="4"/>
      <c r="GG48" s="4"/>
      <c r="GH48" s="4"/>
      <c r="GI48" s="4"/>
      <c r="GJ48" s="4"/>
      <c r="GK48" s="4"/>
      <c r="GL48" s="4"/>
      <c r="GM48" s="4"/>
      <c r="GN48" s="4"/>
      <c r="GO48" s="4"/>
      <c r="GP48" s="4"/>
      <c r="GQ48" s="4"/>
      <c r="GR48" s="4"/>
      <c r="GS48" s="4"/>
      <c r="GT48" s="4"/>
      <c r="GU48" s="4"/>
      <c r="GV48" s="4"/>
      <c r="GW48" s="4"/>
      <c r="GX48" s="4"/>
      <c r="GY48" s="4"/>
      <c r="GZ48" s="4"/>
      <c r="HA48" s="4"/>
      <c r="HB48" s="4"/>
      <c r="HC48" s="4"/>
      <c r="HD48" s="4"/>
      <c r="HE48" s="4"/>
      <c r="HF48" s="4"/>
      <c r="HG48" s="4"/>
      <c r="HH48" s="4"/>
      <c r="HI48" s="4"/>
      <c r="HJ48" s="4"/>
      <c r="HK48" s="4"/>
      <c r="HL48" s="4"/>
      <c r="HM48" s="4"/>
      <c r="HN48" s="4"/>
      <c r="HO48" s="4"/>
      <c r="HP48" s="4"/>
      <c r="HQ48" s="4"/>
      <c r="HR48" s="4"/>
      <c r="HS48" s="4"/>
      <c r="HT48" s="4"/>
      <c r="HU48" s="4"/>
      <c r="HV48" s="4"/>
      <c r="HW48" s="4"/>
      <c r="HX48" s="4"/>
      <c r="HY48" s="4"/>
      <c r="HZ48" s="4"/>
      <c r="IA48" s="4"/>
      <c r="IB48" s="4"/>
      <c r="IC48" s="4"/>
      <c r="ID48" s="4"/>
      <c r="IE48" s="4"/>
      <c r="IF48" s="4"/>
      <c r="IG48" s="4"/>
      <c r="IH48" s="4"/>
      <c r="II48" s="4"/>
      <c r="IJ48" s="4"/>
      <c r="IK48" s="4"/>
      <c r="IL48" s="4"/>
      <c r="IM48" s="4"/>
      <c r="IN48" s="4"/>
      <c r="IO48" s="4"/>
      <c r="IP48" s="4"/>
      <c r="IQ48" s="4"/>
      <c r="IR48" s="4"/>
      <c r="IS48" s="4"/>
      <c r="IT48" s="4"/>
      <c r="IU48" s="4"/>
      <c r="IV48" s="4"/>
    </row>
  </sheetData>
  <mergeCells count="2">
    <mergeCell ref="A2:M2"/>
    <mergeCell ref="A3:M3"/>
  </mergeCells>
  <pageMargins left="0.78749999999999998" right="0.78749999999999998" top="1.0249999999999999" bottom="1.0249999999999999" header="0.78749999999999998" footer="0.78749999999999998"/>
  <pageSetup paperSize="9" firstPageNumber="0" orientation="landscape" horizontalDpi="300" verticalDpi="300"/>
  <headerFooter>
    <oddHeader>&amp;C&amp;A</oddHeader>
    <oddFooter>&amp;CSide &amp;P</oddFooter>
  </headerFooter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B14"/>
  <sheetViews>
    <sheetView zoomScaleNormal="100" workbookViewId="0"/>
  </sheetViews>
  <sheetFormatPr baseColWidth="10" defaultColWidth="8.86328125" defaultRowHeight="13" x14ac:dyDescent="0.6"/>
  <cols>
    <col min="1" max="1025" width="11.54296875"/>
  </cols>
  <sheetData>
    <row r="1" spans="1:28" x14ac:dyDescent="0.6">
      <c r="A1" s="251"/>
      <c r="B1" s="252"/>
      <c r="C1" s="253"/>
      <c r="D1" s="252"/>
      <c r="E1" s="254"/>
      <c r="F1" s="255"/>
      <c r="G1" s="252"/>
      <c r="H1" s="252"/>
      <c r="I1" s="252"/>
      <c r="J1" s="252"/>
      <c r="K1" s="252"/>
      <c r="L1" s="252"/>
      <c r="M1" s="252"/>
      <c r="N1" s="252"/>
      <c r="O1" s="252"/>
      <c r="P1" s="252"/>
      <c r="Q1" s="252"/>
      <c r="R1" s="252"/>
      <c r="S1" s="252"/>
      <c r="T1" s="252"/>
      <c r="U1" s="252"/>
      <c r="V1" s="252"/>
      <c r="W1" s="256"/>
      <c r="X1" s="252"/>
      <c r="Y1" s="252"/>
      <c r="Z1" s="252"/>
      <c r="AA1" s="8"/>
      <c r="AB1" s="8"/>
    </row>
    <row r="2" spans="1:28" x14ac:dyDescent="0.6">
      <c r="A2" s="251"/>
      <c r="B2" s="252"/>
      <c r="C2" s="253"/>
      <c r="D2" s="252"/>
      <c r="E2" s="254"/>
      <c r="F2" s="255"/>
      <c r="G2" s="252"/>
      <c r="H2" s="252"/>
      <c r="I2" s="252"/>
      <c r="J2" s="252"/>
      <c r="K2" s="252"/>
      <c r="L2" s="252"/>
      <c r="M2" s="252"/>
      <c r="N2" s="252"/>
      <c r="O2" s="252"/>
      <c r="P2" s="252"/>
      <c r="Q2" s="252"/>
      <c r="R2" s="252"/>
      <c r="S2" s="252"/>
      <c r="T2" s="252"/>
      <c r="U2" s="252"/>
      <c r="V2" s="252"/>
      <c r="W2" s="256"/>
      <c r="X2" s="252"/>
      <c r="Y2" s="252"/>
      <c r="Z2" s="252"/>
      <c r="AA2" s="8"/>
      <c r="AB2" s="8"/>
    </row>
    <row r="3" spans="1:28" x14ac:dyDescent="0.6">
      <c r="A3" s="251"/>
      <c r="B3" s="257" t="s">
        <v>136</v>
      </c>
      <c r="C3" s="253"/>
      <c r="D3" s="252"/>
      <c r="E3" s="254"/>
      <c r="F3" s="255"/>
      <c r="G3" s="252"/>
      <c r="H3" s="252"/>
      <c r="I3" s="252"/>
      <c r="J3" s="252"/>
      <c r="K3" s="252"/>
      <c r="L3" s="252"/>
      <c r="M3" s="252"/>
      <c r="N3" s="252"/>
      <c r="O3" s="252"/>
      <c r="P3" s="252"/>
      <c r="Q3" s="252"/>
      <c r="R3" s="252"/>
      <c r="S3" s="252"/>
      <c r="T3" s="252"/>
      <c r="U3" s="252"/>
      <c r="V3" s="252"/>
      <c r="W3" s="256"/>
      <c r="X3" s="252"/>
      <c r="Y3" s="252"/>
      <c r="Z3" s="252"/>
      <c r="AA3" s="8"/>
      <c r="AB3" s="8"/>
    </row>
    <row r="4" spans="1:28" ht="7.5" customHeight="1" x14ac:dyDescent="0.6">
      <c r="A4" s="251"/>
      <c r="B4" s="258"/>
      <c r="C4" s="253"/>
      <c r="D4" s="252"/>
      <c r="E4" s="254"/>
      <c r="F4" s="255"/>
      <c r="G4" s="252"/>
      <c r="H4" s="252"/>
      <c r="I4" s="252"/>
      <c r="J4" s="252"/>
      <c r="K4" s="252"/>
      <c r="L4" s="252"/>
      <c r="M4" s="252"/>
      <c r="N4" s="252"/>
      <c r="O4" s="252"/>
      <c r="P4" s="252"/>
      <c r="Q4" s="252"/>
      <c r="R4" s="252"/>
      <c r="S4" s="252"/>
      <c r="T4" s="252"/>
      <c r="U4" s="252"/>
      <c r="V4" s="252"/>
      <c r="W4" s="256"/>
      <c r="X4" s="252"/>
      <c r="Y4" s="252"/>
      <c r="Z4" s="252"/>
      <c r="AA4" s="8"/>
      <c r="AB4" s="8"/>
    </row>
    <row r="5" spans="1:28" x14ac:dyDescent="0.6">
      <c r="A5" s="251"/>
      <c r="B5" s="318" t="s">
        <v>137</v>
      </c>
      <c r="C5" s="318"/>
      <c r="D5" s="318"/>
      <c r="E5" s="318"/>
      <c r="F5" s="318"/>
      <c r="G5" s="318"/>
      <c r="H5" s="318"/>
      <c r="I5" s="318"/>
      <c r="J5" s="318"/>
      <c r="K5" s="318"/>
      <c r="L5" s="318"/>
      <c r="M5" s="318"/>
      <c r="N5" s="318"/>
      <c r="O5" s="318"/>
      <c r="P5" s="318"/>
      <c r="Q5" s="252"/>
      <c r="R5" s="252"/>
      <c r="S5" s="252"/>
      <c r="T5" s="252"/>
      <c r="U5" s="252"/>
      <c r="V5" s="252"/>
      <c r="W5" s="256"/>
      <c r="X5" s="252"/>
      <c r="Y5" s="252"/>
      <c r="Z5" s="252"/>
      <c r="AA5" s="8"/>
      <c r="AB5" s="8"/>
    </row>
    <row r="6" spans="1:28" ht="7.5" customHeight="1" x14ac:dyDescent="0.6">
      <c r="A6" s="251"/>
      <c r="B6" s="258"/>
      <c r="C6" s="253"/>
      <c r="D6" s="252"/>
      <c r="E6" s="254"/>
      <c r="F6" s="255"/>
      <c r="G6" s="252"/>
      <c r="H6" s="252"/>
      <c r="I6" s="252"/>
      <c r="J6" s="252"/>
      <c r="K6" s="252"/>
      <c r="L6" s="252"/>
      <c r="M6" s="252"/>
      <c r="N6" s="252"/>
      <c r="O6" s="252"/>
      <c r="P6" s="252"/>
      <c r="Q6" s="252"/>
      <c r="R6" s="252"/>
      <c r="S6" s="252"/>
      <c r="T6" s="252"/>
      <c r="U6" s="252"/>
      <c r="V6" s="252"/>
      <c r="W6" s="256"/>
      <c r="X6" s="252"/>
      <c r="Y6" s="252"/>
      <c r="Z6" s="252"/>
      <c r="AA6" s="8"/>
      <c r="AB6" s="8"/>
    </row>
    <row r="7" spans="1:28" x14ac:dyDescent="0.6">
      <c r="A7" s="251"/>
      <c r="B7" s="258" t="s">
        <v>138</v>
      </c>
      <c r="C7" s="253"/>
      <c r="D7" s="252"/>
      <c r="E7" s="254"/>
      <c r="F7" s="255"/>
      <c r="G7" s="252"/>
      <c r="H7" s="252"/>
      <c r="I7" s="252"/>
      <c r="J7" s="252"/>
      <c r="K7" s="252"/>
      <c r="L7" s="252"/>
      <c r="M7" s="252"/>
      <c r="N7" s="252"/>
      <c r="O7" s="252"/>
      <c r="P7" s="252"/>
      <c r="Q7" s="252"/>
      <c r="R7" s="252"/>
      <c r="S7" s="252"/>
      <c r="T7" s="252"/>
      <c r="U7" s="252"/>
      <c r="V7" s="252"/>
      <c r="W7" s="256"/>
      <c r="X7" s="252"/>
      <c r="Y7" s="252"/>
      <c r="Z7" s="252"/>
      <c r="AA7" s="8"/>
      <c r="AB7" s="8"/>
    </row>
    <row r="8" spans="1:28" x14ac:dyDescent="0.6">
      <c r="A8" s="251"/>
      <c r="B8" s="258" t="s">
        <v>139</v>
      </c>
      <c r="C8" s="253"/>
      <c r="D8" s="252"/>
      <c r="E8" s="254"/>
      <c r="F8" s="255"/>
      <c r="G8" s="252"/>
      <c r="H8" s="252"/>
      <c r="I8" s="252"/>
      <c r="J8" s="252"/>
      <c r="K8" s="252"/>
      <c r="L8" s="252"/>
      <c r="M8" s="252"/>
      <c r="N8" s="252"/>
      <c r="O8" s="252"/>
      <c r="P8" s="252"/>
      <c r="Q8" s="252"/>
      <c r="R8" s="252"/>
      <c r="S8" s="252"/>
      <c r="T8" s="252"/>
      <c r="U8" s="252"/>
      <c r="V8" s="252"/>
      <c r="W8" s="256"/>
      <c r="X8" s="252"/>
      <c r="Y8" s="252"/>
      <c r="Z8" s="252"/>
      <c r="AA8" s="8"/>
      <c r="AB8" s="8"/>
    </row>
    <row r="9" spans="1:28" x14ac:dyDescent="0.6">
      <c r="A9" s="251"/>
      <c r="B9" s="258" t="s">
        <v>140</v>
      </c>
      <c r="C9" s="253"/>
      <c r="D9" s="252"/>
      <c r="E9" s="254"/>
      <c r="F9" s="255"/>
      <c r="G9" s="252"/>
      <c r="H9" s="252"/>
      <c r="I9" s="252"/>
      <c r="J9" s="252"/>
      <c r="K9" s="252"/>
      <c r="L9" s="252"/>
      <c r="M9" s="252"/>
      <c r="N9" s="252"/>
      <c r="O9" s="252"/>
      <c r="P9" s="252"/>
      <c r="Q9" s="252"/>
      <c r="R9" s="252"/>
      <c r="S9" s="252"/>
      <c r="T9" s="252"/>
      <c r="U9" s="252"/>
      <c r="V9" s="252"/>
      <c r="W9" s="256"/>
      <c r="X9" s="252"/>
      <c r="Y9" s="252"/>
      <c r="Z9" s="252"/>
      <c r="AA9" s="8"/>
      <c r="AB9" s="8"/>
    </row>
    <row r="10" spans="1:28" ht="7.5" customHeight="1" x14ac:dyDescent="0.6">
      <c r="A10" s="251"/>
      <c r="B10" s="258"/>
      <c r="C10" s="253"/>
      <c r="D10" s="252"/>
      <c r="E10" s="254"/>
      <c r="F10" s="255"/>
      <c r="G10" s="252"/>
      <c r="H10" s="252"/>
      <c r="I10" s="252"/>
      <c r="J10" s="252"/>
      <c r="K10" s="252"/>
      <c r="L10" s="252"/>
      <c r="M10" s="252"/>
      <c r="N10" s="252"/>
      <c r="O10" s="252"/>
      <c r="P10" s="252"/>
      <c r="Q10" s="252"/>
      <c r="R10" s="252"/>
      <c r="S10" s="252"/>
      <c r="T10" s="252"/>
      <c r="U10" s="252"/>
      <c r="V10" s="252"/>
      <c r="W10" s="256"/>
      <c r="X10" s="252"/>
      <c r="Y10" s="252"/>
      <c r="Z10" s="252"/>
      <c r="AA10" s="8"/>
      <c r="AB10" s="8"/>
    </row>
    <row r="11" spans="1:28" x14ac:dyDescent="0.6">
      <c r="A11" s="251"/>
      <c r="B11" s="258" t="s">
        <v>141</v>
      </c>
      <c r="C11" s="253"/>
      <c r="D11" s="252"/>
      <c r="E11" s="254"/>
      <c r="F11" s="255"/>
      <c r="G11" s="252"/>
      <c r="H11" s="252"/>
      <c r="I11" s="252"/>
      <c r="J11" s="252"/>
      <c r="K11" s="252"/>
      <c r="L11" s="252"/>
      <c r="M11" s="252"/>
      <c r="N11" s="252"/>
      <c r="O11" s="252"/>
      <c r="P11" s="252"/>
      <c r="Q11" s="252"/>
      <c r="R11" s="252"/>
      <c r="S11" s="252"/>
      <c r="T11" s="252"/>
      <c r="U11" s="252"/>
      <c r="V11" s="252"/>
      <c r="W11" s="256"/>
      <c r="X11" s="252"/>
      <c r="Y11" s="252"/>
      <c r="Z11" s="252"/>
      <c r="AA11" s="8"/>
      <c r="AB11" s="8"/>
    </row>
    <row r="12" spans="1:28" x14ac:dyDescent="0.6">
      <c r="A12" s="251"/>
      <c r="B12" s="318" t="s">
        <v>142</v>
      </c>
      <c r="C12" s="318"/>
      <c r="D12" s="318"/>
      <c r="E12" s="318"/>
      <c r="F12" s="318"/>
      <c r="G12" s="318"/>
      <c r="H12" s="318"/>
      <c r="I12" s="318"/>
      <c r="J12" s="318"/>
      <c r="K12" s="318"/>
      <c r="L12" s="318"/>
      <c r="M12" s="318"/>
      <c r="N12" s="318"/>
      <c r="O12" s="318"/>
      <c r="P12" s="318"/>
      <c r="Q12" s="252"/>
      <c r="R12" s="252"/>
      <c r="S12" s="252"/>
      <c r="T12" s="252"/>
      <c r="U12" s="252"/>
      <c r="V12" s="252"/>
      <c r="W12" s="256"/>
      <c r="X12" s="252"/>
      <c r="Y12" s="252"/>
      <c r="Z12" s="252"/>
      <c r="AA12" s="8"/>
      <c r="AB12" s="8"/>
    </row>
    <row r="13" spans="1:28" x14ac:dyDescent="0.6">
      <c r="A13" s="251"/>
      <c r="B13" s="252"/>
      <c r="C13" s="253"/>
      <c r="D13" s="252"/>
      <c r="E13" s="254"/>
      <c r="F13" s="255"/>
      <c r="G13" s="252"/>
      <c r="H13" s="252"/>
      <c r="I13" s="252"/>
      <c r="J13" s="252"/>
      <c r="K13" s="252"/>
      <c r="L13" s="252"/>
      <c r="M13" s="252"/>
      <c r="N13" s="252"/>
      <c r="O13" s="252"/>
      <c r="P13" s="252"/>
      <c r="Q13" s="252"/>
      <c r="R13" s="252"/>
      <c r="S13" s="252"/>
      <c r="T13" s="252"/>
      <c r="U13" s="252"/>
      <c r="V13" s="252"/>
      <c r="W13" s="256"/>
      <c r="X13" s="252"/>
      <c r="Y13" s="252"/>
      <c r="Z13" s="252"/>
      <c r="AA13" s="8"/>
      <c r="AB13" s="8"/>
    </row>
    <row r="14" spans="1:28" x14ac:dyDescent="0.6">
      <c r="A14" s="259"/>
      <c r="B14" s="259"/>
      <c r="C14" s="259"/>
      <c r="D14" s="260"/>
      <c r="E14" s="261"/>
      <c r="F14" s="262"/>
      <c r="G14" s="260"/>
      <c r="H14" s="260"/>
      <c r="I14" s="260"/>
      <c r="J14" s="260"/>
      <c r="K14" s="260"/>
      <c r="L14" s="260"/>
      <c r="M14" s="260"/>
      <c r="N14" s="260"/>
      <c r="O14" s="260"/>
      <c r="P14" s="260"/>
      <c r="Q14" s="260"/>
      <c r="R14" s="260"/>
      <c r="S14" s="260"/>
      <c r="T14" s="260"/>
      <c r="U14" s="260"/>
      <c r="V14" s="260"/>
      <c r="W14" s="263"/>
      <c r="X14" s="260"/>
      <c r="Y14" s="260"/>
      <c r="Z14" s="260"/>
      <c r="AA14" s="109"/>
      <c r="AB14" s="109"/>
    </row>
  </sheetData>
  <mergeCells count="2">
    <mergeCell ref="B5:P5"/>
    <mergeCell ref="B12:P12"/>
  </mergeCells>
  <hyperlinks>
    <hyperlink ref="B5" r:id="rId1" display="http://mettleine.wordpress.com/2008/04/27/ekstra-nedbetaling-pa-annuitetslan-og-serielan/" xr:uid="{00000000-0004-0000-0500-000000000000}"/>
    <hyperlink ref="B12" r:id="rId2" display="http://www.gnu.org/licenses/gpl.html" xr:uid="{00000000-0004-0000-0500-000001000000}"/>
  </hyperlinks>
  <pageMargins left="0.78749999999999998" right="0.78749999999999998" top="1.0249999999999999" bottom="1.0249999999999999" header="0.78749999999999998" footer="0.78749999999999998"/>
  <pageSetup paperSize="9" firstPageNumber="0" orientation="landscape" horizontalDpi="300" verticalDpi="300"/>
  <headerFooter>
    <oddHeader>&amp;C&amp;A</oddHeader>
    <oddFooter>&amp;CSide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DocSecurity>0</DocSecurity>
  <ScaleCrop>false</ScaleCrop>
  <HeadingPairs>
    <vt:vector size="4" baseType="variant">
      <vt:variant>
        <vt:lpstr>Regneark</vt:lpstr>
      </vt:variant>
      <vt:variant>
        <vt:i4>6</vt:i4>
      </vt:variant>
      <vt:variant>
        <vt:lpstr>Navngitte områder</vt:lpstr>
      </vt:variant>
      <vt:variant>
        <vt:i4>64</vt:i4>
      </vt:variant>
    </vt:vector>
  </HeadingPairs>
  <TitlesOfParts>
    <vt:vector size="70" baseType="lpstr">
      <vt:lpstr>Statisk plan</vt:lpstr>
      <vt:lpstr>Dynamisk plan</vt:lpstr>
      <vt:lpstr>Diagram 2</vt:lpstr>
      <vt:lpstr>Diagram 3</vt:lpstr>
      <vt:lpstr>Diagram 4</vt:lpstr>
      <vt:lpstr>Om</vt:lpstr>
      <vt:lpstr>t2kAnnenGjeld</vt:lpstr>
      <vt:lpstr>t2kAvd1</vt:lpstr>
      <vt:lpstr>t2kDfJTnb</vt:lpstr>
      <vt:lpstr>t2kDfNTnb</vt:lpstr>
      <vt:lpstr>t2kERed</vt:lpstr>
      <vt:lpstr>t2kFGj</vt:lpstr>
      <vt:lpstr>t2kFradragPst</vt:lpstr>
      <vt:lpstr>t2kGjeldsgrad</vt:lpstr>
      <vt:lpstr>t2kIFaktor</vt:lpstr>
      <vt:lpstr>t2kInntekt</vt:lpstr>
      <vt:lpstr>t2kIPM</vt:lpstr>
      <vt:lpstr>t2kKap</vt:lpstr>
      <vt:lpstr>t2kKost1EtterEvtFradrag</vt:lpstr>
      <vt:lpstr>t2kKost1Kpi</vt:lpstr>
      <vt:lpstr>t2kKost2EtterEvtFradrag</vt:lpstr>
      <vt:lpstr>t2kKost2Kpi</vt:lpstr>
      <vt:lpstr>t2kKPI</vt:lpstr>
      <vt:lpstr>t2kKS1</vt:lpstr>
      <vt:lpstr>t2kMnd</vt:lpstr>
      <vt:lpstr>t2kNTid</vt:lpstr>
      <vt:lpstr>t2kR1</vt:lpstr>
      <vt:lpstr>t2kR2</vt:lpstr>
      <vt:lpstr>t2kRadnrGjeldsgradTreff</vt:lpstr>
      <vt:lpstr>t2kRP</vt:lpstr>
      <vt:lpstr>t2kS1</vt:lpstr>
      <vt:lpstr>t2kS2</vt:lpstr>
      <vt:lpstr>t2kSAkk</vt:lpstr>
      <vt:lpstr>t2kSPM</vt:lpstr>
      <vt:lpstr>t2kTakst</vt:lpstr>
      <vt:lpstr>t2kTB1</vt:lpstr>
      <vt:lpstr>t2kTB2</vt:lpstr>
      <vt:lpstr>t2kTG</vt:lpstr>
      <vt:lpstr>t2kTG1</vt:lpstr>
      <vt:lpstr>t2kTG2</vt:lpstr>
      <vt:lpstr>t2kTI1</vt:lpstr>
      <vt:lpstr>t2kTI2</vt:lpstr>
      <vt:lpstr>t2kTnb</vt:lpstr>
      <vt:lpstr>t2kTNr</vt:lpstr>
      <vt:lpstr>t2kUAvd</vt:lpstr>
      <vt:lpstr>t2rDenneManed</vt:lpstr>
      <vt:lpstr>t2rGjeldsgradTreff</vt:lpstr>
      <vt:lpstr>t2rTLn1</vt:lpstr>
      <vt:lpstr>t2rTLnN</vt:lpstr>
      <vt:lpstr>t2vAntTAr1</vt:lpstr>
      <vt:lpstr>t2vAntTArN</vt:lpstr>
      <vt:lpstr>t2vArN</vt:lpstr>
      <vt:lpstr>t2vArTLn1</vt:lpstr>
      <vt:lpstr>t2vArTLnN</vt:lpstr>
      <vt:lpstr>t2vArYTLn1</vt:lpstr>
      <vt:lpstr>t2vArYTLnN</vt:lpstr>
      <vt:lpstr>t2vDmErITbl</vt:lpstr>
      <vt:lpstr>t2vDmErPostTabell</vt:lpstr>
      <vt:lpstr>t2vDmErPreTabell</vt:lpstr>
      <vt:lpstr>t2vDtAr</vt:lpstr>
      <vt:lpstr>t2vDtMnd</vt:lpstr>
      <vt:lpstr>t2vHarDmGjeldsgradtallITabellenLavereEllerLikMalet</vt:lpstr>
      <vt:lpstr>t2vJan1Ar</vt:lpstr>
      <vt:lpstr>t2vJan1Ln</vt:lpstr>
      <vt:lpstr>t2vStdRTNr</vt:lpstr>
      <vt:lpstr>t2vTNkl1</vt:lpstr>
      <vt:lpstr>t2vTNklN</vt:lpstr>
      <vt:lpstr>t2xAntAr</vt:lpstr>
      <vt:lpstr>t2xStdRAntMnd</vt:lpstr>
      <vt:lpstr>t2xStdRPst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2008-04-27T19:09:01Z</dcterms:created>
  <dcterms:modified xsi:type="dcterms:W3CDTF">2025-01-20T17:45:13Z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nfo 1">
    <vt:lpwstr/>
  </property>
  <property fmtid="{D5CDD505-2E9C-101B-9397-08002B2CF9AE}" pid="3" name="Info 2">
    <vt:lpwstr/>
  </property>
  <property fmtid="{D5CDD505-2E9C-101B-9397-08002B2CF9AE}" pid="4" name="Info 3">
    <vt:lpwstr/>
  </property>
  <property fmtid="{D5CDD505-2E9C-101B-9397-08002B2CF9AE}" pid="5" name="Info 4">
    <vt:lpwstr/>
  </property>
</Properties>
</file>